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filterPrivacy="1" defaultThemeVersion="124226"/>
  <xr:revisionPtr revIDLastSave="0" documentId="13_ncr:1_{C16316B6-7389-4247-BB0D-42B4EFE12721}" xr6:coauthVersionLast="36" xr6:coauthVersionMax="36" xr10:uidLastSave="{00000000-0000-0000-0000-000000000000}"/>
  <bookViews>
    <workbookView xWindow="0" yWindow="0" windowWidth="28800" windowHeight="11925" tabRatio="809" xr2:uid="{00000000-000D-0000-FFFF-FFFF00000000}"/>
  </bookViews>
  <sheets>
    <sheet name="Cover" sheetId="133" r:id="rId1"/>
    <sheet name="LC&amp;EC50 Values" sheetId="99" r:id="rId2"/>
    <sheet name="LC50 Comparison Report CAF" sheetId="100" r:id="rId3"/>
    <sheet name="Report MS13 0.2 18C" sheetId="7" r:id="rId4"/>
    <sheet name="Data analysis MS13 0.2 18C" sheetId="2" r:id="rId5"/>
    <sheet name="Report MS13 0.2 23C  " sheetId="25" r:id="rId6"/>
    <sheet name="Data analysis MS13 0.2 23C  " sheetId="24" r:id="rId7"/>
    <sheet name="Report MS13 0.2 28C " sheetId="39" r:id="rId8"/>
    <sheet name="Data analysis MS13 0.2 28C  " sheetId="33" r:id="rId9"/>
    <sheet name="Report MS13 1.0 18C" sheetId="80" r:id="rId10"/>
    <sheet name="Data Analysis MS13 1.0 18C" sheetId="77" r:id="rId11"/>
    <sheet name="Report MS13 1.0 23C" sheetId="66" r:id="rId12"/>
    <sheet name="Data Analysis MS13 1.0 23C" sheetId="62" r:id="rId13"/>
    <sheet name="Report MS13 1.0 28C" sheetId="135" r:id="rId14"/>
    <sheet name="Data Analysis MS13 1.0 28C " sheetId="84" r:id="rId15"/>
    <sheet name="Report MS13 6.0 18C " sheetId="40" r:id="rId16"/>
    <sheet name="Data analysis MS13 6.0 18C" sheetId="36" r:id="rId17"/>
    <sheet name="Report MS13 6.0 23C " sheetId="136" r:id="rId18"/>
    <sheet name="Data Analysis MS13 6.0 23C" sheetId="86" r:id="rId19"/>
    <sheet name="Report MS13 6.0 28C  " sheetId="49" r:id="rId20"/>
    <sheet name="Data analysis MS13 6.0 28C " sheetId="43" r:id="rId21"/>
    <sheet name="Report ESC 0.2 18C" sheetId="114" r:id="rId22"/>
    <sheet name="Data Analysis ESC 0.2 18C" sheetId="111" r:id="rId23"/>
    <sheet name="Report ESC 0.2 23C " sheetId="110" r:id="rId24"/>
    <sheet name="Data Analysis ESC 0.2 23C" sheetId="106" r:id="rId25"/>
    <sheet name="Report ESC 0.2 28C " sheetId="119" r:id="rId26"/>
    <sheet name="Data Analysis ESC 0.2 28C " sheetId="116" r:id="rId27"/>
    <sheet name="Report ESC 1.0 18C" sheetId="108" r:id="rId28"/>
    <sheet name="Data Analysis ESC 1.0 18C " sheetId="101" r:id="rId29"/>
    <sheet name="Report ESC 1.0 23C" sheetId="98" r:id="rId30"/>
    <sheet name="Data Analysis ESC 1.0 23C " sheetId="97" r:id="rId31"/>
    <sheet name="Report ESC 1.0 28C" sheetId="109" r:id="rId32"/>
    <sheet name="Data Analysis ESC 1.0 28C  " sheetId="107" r:id="rId33"/>
    <sheet name="Report ESC 6.0 18C" sheetId="67" r:id="rId34"/>
    <sheet name="Data Analysis ESC 6.0 18C" sheetId="72" r:id="rId35"/>
    <sheet name="Report ESC 6.0 23C" sheetId="137" r:id="rId36"/>
    <sheet name="Data Analysis ESC 6.0 23 " sheetId="94" r:id="rId37"/>
    <sheet name="Report ESC 6.0 28C" sheetId="85" r:id="rId38"/>
    <sheet name="Data Analysis ESC 6.0 28C" sheetId="91" r:id="rId39"/>
    <sheet name="Report NR 6.0 18C" sheetId="127" r:id="rId40"/>
    <sheet name="Data Analysis NR 6.0 18C" sheetId="128" r:id="rId41"/>
    <sheet name="Report NR 6.0 23C" sheetId="124" r:id="rId42"/>
    <sheet name="Data Analysis NR 6.0 23C" sheetId="123" r:id="rId43"/>
    <sheet name="Report NR 6.0 28C" sheetId="132" r:id="rId44"/>
    <sheet name="Data Analysis NR 6.0 28C" sheetId="131" r:id="rId45"/>
  </sheets>
  <calcPr calcId="191029"/>
  <fileRecoveryPr autoRecover="0"/>
</workbook>
</file>

<file path=xl/calcChain.xml><?xml version="1.0" encoding="utf-8"?>
<calcChain xmlns="http://schemas.openxmlformats.org/spreadsheetml/2006/main">
  <c r="A30" i="131" l="1"/>
  <c r="AF22" i="131"/>
  <c r="AF23" i="131" s="1"/>
  <c r="AE22" i="131"/>
  <c r="AD22" i="131"/>
  <c r="AC15" i="131" s="1"/>
  <c r="AC22" i="131"/>
  <c r="AB22" i="131"/>
  <c r="AB23" i="131" s="1"/>
  <c r="AA22" i="131"/>
  <c r="Z22" i="131"/>
  <c r="Y25" i="131" s="1"/>
  <c r="Y22" i="131"/>
  <c r="X22" i="131"/>
  <c r="X23" i="131" s="1"/>
  <c r="W22" i="131"/>
  <c r="F22" i="131"/>
  <c r="D22" i="131"/>
  <c r="B22" i="131"/>
  <c r="B25" i="131" s="1"/>
  <c r="I21" i="131"/>
  <c r="J21" i="131" s="1"/>
  <c r="I20" i="131"/>
  <c r="J20" i="131" s="1"/>
  <c r="AF19" i="131"/>
  <c r="AD19" i="131"/>
  <c r="Z19" i="131"/>
  <c r="J19" i="131"/>
  <c r="I19" i="131"/>
  <c r="AF18" i="131"/>
  <c r="AD18" i="131"/>
  <c r="AB18" i="131"/>
  <c r="Z18" i="131"/>
  <c r="X18" i="131"/>
  <c r="I18" i="131"/>
  <c r="J18" i="131" s="1"/>
  <c r="G18" i="131"/>
  <c r="E18" i="131"/>
  <c r="C18" i="131"/>
  <c r="Y15" i="131"/>
  <c r="O14" i="131"/>
  <c r="AD12" i="131"/>
  <c r="AB12" i="131"/>
  <c r="M12" i="131"/>
  <c r="M14" i="131" s="1"/>
  <c r="AF11" i="131"/>
  <c r="AE14" i="131" s="1"/>
  <c r="AE11" i="131"/>
  <c r="AD11" i="131"/>
  <c r="AC14" i="131" s="1"/>
  <c r="AC11" i="131"/>
  <c r="AB11" i="131"/>
  <c r="AA15" i="131" s="1"/>
  <c r="AA11" i="131"/>
  <c r="Z11" i="131"/>
  <c r="Z12" i="131" s="1"/>
  <c r="Y11" i="131"/>
  <c r="W11" i="131"/>
  <c r="O11" i="131"/>
  <c r="O12" i="131" s="1"/>
  <c r="N11" i="131"/>
  <c r="M11" i="131"/>
  <c r="L11" i="131"/>
  <c r="L12" i="131" s="1"/>
  <c r="L14" i="131" s="1"/>
  <c r="F11" i="131"/>
  <c r="D11" i="131"/>
  <c r="D14" i="131" s="1"/>
  <c r="B11" i="131"/>
  <c r="X10" i="131"/>
  <c r="S10" i="131"/>
  <c r="R10" i="131"/>
  <c r="Q10" i="131"/>
  <c r="C21" i="131" s="1"/>
  <c r="P10" i="131"/>
  <c r="G10" i="131" s="1"/>
  <c r="I10" i="131"/>
  <c r="J10" i="131" s="1"/>
  <c r="X9" i="131"/>
  <c r="X11" i="131" s="1"/>
  <c r="S9" i="131"/>
  <c r="R9" i="131"/>
  <c r="Q9" i="131"/>
  <c r="P9" i="131"/>
  <c r="E9" i="131" s="1"/>
  <c r="I9" i="131"/>
  <c r="J9" i="131" s="1"/>
  <c r="G9" i="131"/>
  <c r="AK8" i="131"/>
  <c r="AI8" i="131"/>
  <c r="AD8" i="131"/>
  <c r="AB8" i="131"/>
  <c r="Z8" i="131"/>
  <c r="S8" i="131"/>
  <c r="R8" i="131"/>
  <c r="Q8" i="131"/>
  <c r="AB19" i="131" s="1"/>
  <c r="P8" i="131"/>
  <c r="AF8" i="131" s="1"/>
  <c r="I8" i="131"/>
  <c r="J8" i="131" s="1"/>
  <c r="G8" i="131"/>
  <c r="E8" i="131"/>
  <c r="C8" i="131"/>
  <c r="AK7" i="131"/>
  <c r="AI7" i="131"/>
  <c r="AF7" i="131"/>
  <c r="AD7" i="131"/>
  <c r="AB7" i="131"/>
  <c r="X7" i="131"/>
  <c r="S7" i="131"/>
  <c r="R7" i="131"/>
  <c r="Q7" i="131"/>
  <c r="P7" i="131"/>
  <c r="I7" i="131"/>
  <c r="J7" i="131" s="1"/>
  <c r="G7" i="131"/>
  <c r="E7" i="131"/>
  <c r="C7" i="131"/>
  <c r="A30" i="128"/>
  <c r="W25" i="128"/>
  <c r="X23" i="128"/>
  <c r="AD22" i="128"/>
  <c r="AC22" i="128"/>
  <c r="AB22" i="128"/>
  <c r="AB23" i="128" s="1"/>
  <c r="AA22" i="128"/>
  <c r="Z22" i="128"/>
  <c r="Y22" i="128"/>
  <c r="V22" i="128"/>
  <c r="U25" i="128" s="1"/>
  <c r="U22" i="128"/>
  <c r="F22" i="128"/>
  <c r="D22" i="128"/>
  <c r="D25" i="128" s="1"/>
  <c r="B22" i="128"/>
  <c r="B25" i="128" s="1"/>
  <c r="I21" i="128"/>
  <c r="H21" i="128"/>
  <c r="E21" i="128"/>
  <c r="H20" i="128"/>
  <c r="I20" i="128" s="1"/>
  <c r="G20" i="128"/>
  <c r="AB19" i="128"/>
  <c r="H19" i="128"/>
  <c r="I19" i="128" s="1"/>
  <c r="AD18" i="128"/>
  <c r="AB18" i="128"/>
  <c r="Z18" i="128"/>
  <c r="X18" i="128"/>
  <c r="V18" i="128"/>
  <c r="H18" i="128"/>
  <c r="I18" i="128" s="1"/>
  <c r="G18" i="128"/>
  <c r="E18" i="128"/>
  <c r="C18" i="128"/>
  <c r="AC14" i="128"/>
  <c r="F14" i="128"/>
  <c r="B14" i="128"/>
  <c r="Z12" i="128"/>
  <c r="X12" i="128"/>
  <c r="AD11" i="128"/>
  <c r="AD12" i="128" s="1"/>
  <c r="AC11" i="128"/>
  <c r="AB11" i="128"/>
  <c r="AB12" i="128" s="1"/>
  <c r="AA11" i="128"/>
  <c r="Z11" i="128"/>
  <c r="Y14" i="128" s="1"/>
  <c r="Y11" i="128"/>
  <c r="X11" i="128"/>
  <c r="W11" i="128"/>
  <c r="U11" i="128"/>
  <c r="N11" i="128"/>
  <c r="N12" i="128" s="1"/>
  <c r="N14" i="128" s="1"/>
  <c r="M11" i="128"/>
  <c r="L11" i="128"/>
  <c r="O11" i="128" s="1"/>
  <c r="K11" i="128"/>
  <c r="K12" i="128" s="1"/>
  <c r="K14" i="128" s="1"/>
  <c r="F11" i="128"/>
  <c r="G11" i="128" s="1"/>
  <c r="D11" i="128"/>
  <c r="D14" i="128" s="1"/>
  <c r="B11" i="128"/>
  <c r="C11" i="128" s="1"/>
  <c r="V10" i="128"/>
  <c r="R10" i="128"/>
  <c r="Q10" i="128"/>
  <c r="P10" i="128"/>
  <c r="G21" i="128" s="1"/>
  <c r="O10" i="128"/>
  <c r="I10" i="128"/>
  <c r="H10" i="128"/>
  <c r="V9" i="128"/>
  <c r="R9" i="128"/>
  <c r="Q9" i="128"/>
  <c r="P9" i="128"/>
  <c r="O9" i="128"/>
  <c r="H9" i="128"/>
  <c r="I9" i="128" s="1"/>
  <c r="AI8" i="128"/>
  <c r="AD8" i="128"/>
  <c r="Z8" i="128"/>
  <c r="X8" i="128"/>
  <c r="R8" i="128"/>
  <c r="Q8" i="128"/>
  <c r="P8" i="128"/>
  <c r="E19" i="128" s="1"/>
  <c r="O8" i="128"/>
  <c r="O12" i="128" s="1"/>
  <c r="O14" i="128" s="1"/>
  <c r="H8" i="128"/>
  <c r="I8" i="128" s="1"/>
  <c r="G8" i="128"/>
  <c r="E8" i="128"/>
  <c r="AI7" i="128"/>
  <c r="AG7" i="128"/>
  <c r="AD7" i="128"/>
  <c r="AB7" i="128"/>
  <c r="Z7" i="128"/>
  <c r="V7" i="128"/>
  <c r="R7" i="128"/>
  <c r="Q7" i="128"/>
  <c r="P7" i="128"/>
  <c r="O7" i="128"/>
  <c r="I7" i="128"/>
  <c r="H7" i="128"/>
  <c r="G7" i="128"/>
  <c r="E7" i="128"/>
  <c r="C7" i="128"/>
  <c r="A30" i="123"/>
  <c r="AC25" i="123"/>
  <c r="D25" i="123"/>
  <c r="AF22" i="123"/>
  <c r="AE22" i="123"/>
  <c r="AD22" i="123"/>
  <c r="AD23" i="123" s="1"/>
  <c r="AC22" i="123"/>
  <c r="AB22" i="123"/>
  <c r="AA22" i="123"/>
  <c r="Z22" i="123"/>
  <c r="Y25" i="123" s="1"/>
  <c r="Y22" i="123"/>
  <c r="W22" i="123"/>
  <c r="F22" i="123"/>
  <c r="D22" i="123"/>
  <c r="B22" i="123"/>
  <c r="I21" i="123"/>
  <c r="J21" i="123" s="1"/>
  <c r="G21" i="123"/>
  <c r="E21" i="123"/>
  <c r="C21" i="123"/>
  <c r="X20" i="123"/>
  <c r="X22" i="123" s="1"/>
  <c r="I20" i="123"/>
  <c r="J20" i="123" s="1"/>
  <c r="G20" i="123"/>
  <c r="E20" i="123"/>
  <c r="C20" i="123"/>
  <c r="AF19" i="123"/>
  <c r="AD19" i="123"/>
  <c r="AB19" i="123"/>
  <c r="Z19" i="123"/>
  <c r="X19" i="123"/>
  <c r="I19" i="123"/>
  <c r="J19" i="123" s="1"/>
  <c r="G19" i="123"/>
  <c r="E19" i="123"/>
  <c r="C19" i="123"/>
  <c r="AF18" i="123"/>
  <c r="AD18" i="123"/>
  <c r="AB18" i="123"/>
  <c r="Z18" i="123"/>
  <c r="X18" i="123"/>
  <c r="I18" i="123"/>
  <c r="J18" i="123" s="1"/>
  <c r="G18" i="123"/>
  <c r="E18" i="123"/>
  <c r="C18" i="123"/>
  <c r="Q12" i="123"/>
  <c r="Q14" i="123" s="1"/>
  <c r="AF11" i="123"/>
  <c r="AE14" i="123" s="1"/>
  <c r="AE11" i="123"/>
  <c r="AD11" i="123"/>
  <c r="AC14" i="123" s="1"/>
  <c r="AC11" i="123"/>
  <c r="AB11" i="123"/>
  <c r="AA11" i="123"/>
  <c r="Z11" i="123"/>
  <c r="Z12" i="123" s="1"/>
  <c r="Y11" i="123"/>
  <c r="W11" i="123"/>
  <c r="Q11" i="123"/>
  <c r="P11" i="123"/>
  <c r="P12" i="123" s="1"/>
  <c r="P14" i="123" s="1"/>
  <c r="O11" i="123"/>
  <c r="O12" i="123" s="1"/>
  <c r="O14" i="123" s="1"/>
  <c r="N11" i="123"/>
  <c r="N12" i="123" s="1"/>
  <c r="N14" i="123" s="1"/>
  <c r="M11" i="123"/>
  <c r="M12" i="123" s="1"/>
  <c r="M14" i="123" s="1"/>
  <c r="L11" i="123"/>
  <c r="L12" i="123" s="1"/>
  <c r="L14" i="123" s="1"/>
  <c r="F11" i="123"/>
  <c r="F14" i="123" s="1"/>
  <c r="D11" i="123"/>
  <c r="B11" i="123"/>
  <c r="I11" i="123" s="1"/>
  <c r="J11" i="123" s="1"/>
  <c r="X10" i="123"/>
  <c r="S10" i="123"/>
  <c r="R10" i="123"/>
  <c r="I10" i="123"/>
  <c r="J10" i="123" s="1"/>
  <c r="G10" i="123"/>
  <c r="E10" i="123"/>
  <c r="C10" i="123"/>
  <c r="X9" i="123"/>
  <c r="X11" i="123" s="1"/>
  <c r="S9" i="123"/>
  <c r="R9" i="123"/>
  <c r="I9" i="123"/>
  <c r="J9" i="123" s="1"/>
  <c r="G9" i="123"/>
  <c r="E9" i="123"/>
  <c r="C9" i="123"/>
  <c r="AP8" i="123"/>
  <c r="AN8" i="123"/>
  <c r="AF8" i="123"/>
  <c r="AD8" i="123"/>
  <c r="AB8" i="123"/>
  <c r="Z8" i="123"/>
  <c r="X8" i="123"/>
  <c r="S8" i="123"/>
  <c r="R8" i="123"/>
  <c r="I8" i="123"/>
  <c r="J8" i="123" s="1"/>
  <c r="G8" i="123"/>
  <c r="E8" i="123"/>
  <c r="C8" i="123"/>
  <c r="AP7" i="123"/>
  <c r="AN7" i="123"/>
  <c r="AF7" i="123"/>
  <c r="AD7" i="123"/>
  <c r="AB7" i="123"/>
  <c r="X7" i="123"/>
  <c r="S7" i="123"/>
  <c r="R7" i="123"/>
  <c r="I7" i="123"/>
  <c r="J7" i="123" s="1"/>
  <c r="G7" i="123"/>
  <c r="E7" i="123"/>
  <c r="C7" i="123"/>
  <c r="A30" i="116"/>
  <c r="AM23" i="116"/>
  <c r="N23" i="116"/>
  <c r="N25" i="116" s="1"/>
  <c r="L23" i="116"/>
  <c r="L25" i="116" s="1"/>
  <c r="AR22" i="116"/>
  <c r="AS22" i="116" s="1"/>
  <c r="AP22" i="116"/>
  <c r="AQ22" i="116" s="1"/>
  <c r="AN22" i="116"/>
  <c r="AO22" i="116" s="1"/>
  <c r="AL22" i="116"/>
  <c r="AM22" i="116" s="1"/>
  <c r="AL25" i="116" s="1"/>
  <c r="AJ22" i="116"/>
  <c r="AK22" i="116" s="1"/>
  <c r="U22" i="116"/>
  <c r="U23" i="116" s="1"/>
  <c r="T22" i="116"/>
  <c r="S22" i="116"/>
  <c r="R22" i="116"/>
  <c r="N22" i="116"/>
  <c r="M22" i="116"/>
  <c r="L22" i="116"/>
  <c r="F22" i="116"/>
  <c r="G22" i="116" s="1"/>
  <c r="D22" i="116"/>
  <c r="D25" i="116" s="1"/>
  <c r="B22" i="116"/>
  <c r="B25" i="116" s="1"/>
  <c r="AS21" i="116"/>
  <c r="AQ21" i="116"/>
  <c r="AO21" i="116"/>
  <c r="AM21" i="116"/>
  <c r="AK21" i="116"/>
  <c r="O21" i="116"/>
  <c r="I21" i="116"/>
  <c r="G21" i="116"/>
  <c r="E21" i="116"/>
  <c r="C21" i="116"/>
  <c r="AS20" i="116"/>
  <c r="AQ20" i="116"/>
  <c r="AO20" i="116"/>
  <c r="AM20" i="116"/>
  <c r="AK20" i="116"/>
  <c r="O20" i="116"/>
  <c r="I20" i="116"/>
  <c r="G20" i="116"/>
  <c r="E20" i="116"/>
  <c r="C20" i="116"/>
  <c r="AS19" i="116"/>
  <c r="AQ19" i="116"/>
  <c r="AO19" i="116"/>
  <c r="AM19" i="116"/>
  <c r="AK19" i="116"/>
  <c r="AF19" i="116"/>
  <c r="AD19" i="116"/>
  <c r="AB19" i="116"/>
  <c r="Z19" i="116"/>
  <c r="X19" i="116"/>
  <c r="U19" i="116"/>
  <c r="O19" i="116"/>
  <c r="J19" i="116"/>
  <c r="I19" i="116"/>
  <c r="G19" i="116"/>
  <c r="E19" i="116"/>
  <c r="C19" i="116"/>
  <c r="AS18" i="116"/>
  <c r="AQ18" i="116"/>
  <c r="AO18" i="116"/>
  <c r="AM18" i="116"/>
  <c r="AK18" i="116"/>
  <c r="AF18" i="116"/>
  <c r="AD18" i="116"/>
  <c r="AB18" i="116"/>
  <c r="Z18" i="116"/>
  <c r="X18" i="116"/>
  <c r="U18" i="116"/>
  <c r="S18" i="116"/>
  <c r="O18" i="116"/>
  <c r="I18" i="116"/>
  <c r="G18" i="116"/>
  <c r="E18" i="116"/>
  <c r="C18" i="116"/>
  <c r="F14" i="116"/>
  <c r="M12" i="116"/>
  <c r="M14" i="116" s="1"/>
  <c r="BA11" i="116"/>
  <c r="AS11" i="116"/>
  <c r="AR15" i="116" s="1"/>
  <c r="AR11" i="116"/>
  <c r="AP11" i="116"/>
  <c r="AQ11" i="116" s="1"/>
  <c r="AN11" i="116"/>
  <c r="AO11" i="116" s="1"/>
  <c r="AL11" i="116"/>
  <c r="AM11" i="116" s="1"/>
  <c r="AJ11" i="116"/>
  <c r="AK11" i="116" s="1"/>
  <c r="AJ14" i="116" s="1"/>
  <c r="Q11" i="116"/>
  <c r="C22" i="116" s="1"/>
  <c r="P11" i="116"/>
  <c r="P12" i="116" s="1"/>
  <c r="P14" i="116" s="1"/>
  <c r="O11" i="116"/>
  <c r="S11" i="116" s="1"/>
  <c r="N11" i="116"/>
  <c r="M11" i="116"/>
  <c r="L11" i="116"/>
  <c r="L12" i="116" s="1"/>
  <c r="L14" i="116" s="1"/>
  <c r="F11" i="116"/>
  <c r="D11" i="116"/>
  <c r="E11" i="116" s="1"/>
  <c r="B11" i="116"/>
  <c r="B14" i="116" s="1"/>
  <c r="BD10" i="116"/>
  <c r="AS10" i="116"/>
  <c r="AQ10" i="116"/>
  <c r="AO10" i="116"/>
  <c r="AM10" i="116"/>
  <c r="AK10" i="116"/>
  <c r="S10" i="116"/>
  <c r="R10" i="116"/>
  <c r="J10" i="116"/>
  <c r="I10" i="116"/>
  <c r="G10" i="116"/>
  <c r="E10" i="116"/>
  <c r="C10" i="116"/>
  <c r="BD9" i="116"/>
  <c r="AS9" i="116"/>
  <c r="AQ9" i="116"/>
  <c r="AO9" i="116"/>
  <c r="AM9" i="116"/>
  <c r="AK9" i="116"/>
  <c r="S9" i="116"/>
  <c r="R9" i="116"/>
  <c r="I9" i="116"/>
  <c r="J9" i="116" s="1"/>
  <c r="G9" i="116"/>
  <c r="E9" i="116"/>
  <c r="C9" i="116"/>
  <c r="BB8" i="116"/>
  <c r="AZ8" i="116"/>
  <c r="AX8" i="116"/>
  <c r="AV8" i="116"/>
  <c r="AS8" i="116"/>
  <c r="AQ8" i="116"/>
  <c r="AO8" i="116"/>
  <c r="AM8" i="116"/>
  <c r="AK8" i="116"/>
  <c r="AF8" i="116"/>
  <c r="AE15" i="116" s="1"/>
  <c r="AD8" i="116"/>
  <c r="AC15" i="116" s="1"/>
  <c r="AB8" i="116"/>
  <c r="AA15" i="116" s="1"/>
  <c r="Z8" i="116"/>
  <c r="X8" i="116"/>
  <c r="W15" i="116" s="1"/>
  <c r="S8" i="116"/>
  <c r="R8" i="116"/>
  <c r="I8" i="116"/>
  <c r="J8" i="116" s="1"/>
  <c r="G8" i="116"/>
  <c r="E8" i="116"/>
  <c r="C8" i="116"/>
  <c r="BD7" i="116"/>
  <c r="BB7" i="116"/>
  <c r="AZ7" i="116"/>
  <c r="AX7" i="116"/>
  <c r="AV7" i="116"/>
  <c r="AS7" i="116"/>
  <c r="AQ7" i="116"/>
  <c r="AO7" i="116"/>
  <c r="AM7" i="116"/>
  <c r="AK7" i="116"/>
  <c r="AF7" i="116"/>
  <c r="AD7" i="116"/>
  <c r="AB7" i="116"/>
  <c r="X7" i="116"/>
  <c r="S7" i="116"/>
  <c r="R7" i="116"/>
  <c r="I7" i="116"/>
  <c r="J7" i="116" s="1"/>
  <c r="G7" i="116"/>
  <c r="E7" i="116"/>
  <c r="C7" i="116"/>
  <c r="A30" i="111"/>
  <c r="AS23" i="111"/>
  <c r="AO23" i="111"/>
  <c r="AR22" i="111"/>
  <c r="AS22" i="111" s="1"/>
  <c r="AR25" i="111" s="1"/>
  <c r="AP22" i="111"/>
  <c r="AQ22" i="111" s="1"/>
  <c r="AN22" i="111"/>
  <c r="AO22" i="111" s="1"/>
  <c r="AN25" i="111" s="1"/>
  <c r="AL22" i="111"/>
  <c r="AM22" i="111" s="1"/>
  <c r="AJ22" i="111"/>
  <c r="AK22" i="111" s="1"/>
  <c r="AK23" i="111" s="1"/>
  <c r="F22" i="111"/>
  <c r="D22" i="111"/>
  <c r="D25" i="111" s="1"/>
  <c r="B22" i="111"/>
  <c r="AS21" i="111"/>
  <c r="AQ21" i="111"/>
  <c r="AO21" i="111"/>
  <c r="AM21" i="111"/>
  <c r="AK21" i="111"/>
  <c r="J21" i="111"/>
  <c r="I21" i="111"/>
  <c r="G21" i="111"/>
  <c r="E21" i="111"/>
  <c r="C21" i="111"/>
  <c r="AS20" i="111"/>
  <c r="AQ20" i="111"/>
  <c r="AO20" i="111"/>
  <c r="AM20" i="111"/>
  <c r="AK20" i="111"/>
  <c r="I20" i="111"/>
  <c r="J20" i="111" s="1"/>
  <c r="G20" i="111"/>
  <c r="E20" i="111"/>
  <c r="C20" i="111"/>
  <c r="AS19" i="111"/>
  <c r="AQ19" i="111"/>
  <c r="AO19" i="111"/>
  <c r="AM19" i="111"/>
  <c r="AK19" i="111"/>
  <c r="AF19" i="111"/>
  <c r="AD19" i="111"/>
  <c r="AB19" i="111"/>
  <c r="Z19" i="111"/>
  <c r="X19" i="111"/>
  <c r="I19" i="111"/>
  <c r="J19" i="111" s="1"/>
  <c r="G19" i="111"/>
  <c r="E19" i="111"/>
  <c r="C19" i="111"/>
  <c r="AS18" i="111"/>
  <c r="AQ18" i="111"/>
  <c r="AO18" i="111"/>
  <c r="AM18" i="111"/>
  <c r="AK18" i="111"/>
  <c r="AF18" i="111"/>
  <c r="AD18" i="111"/>
  <c r="AB18" i="111"/>
  <c r="Z18" i="111"/>
  <c r="X18" i="111"/>
  <c r="I18" i="111"/>
  <c r="J18" i="111" s="1"/>
  <c r="G18" i="111"/>
  <c r="E18" i="111"/>
  <c r="C18" i="111"/>
  <c r="AS12" i="111"/>
  <c r="AR11" i="111"/>
  <c r="AS11" i="111" s="1"/>
  <c r="AP11" i="111"/>
  <c r="AQ11" i="111" s="1"/>
  <c r="AO11" i="111"/>
  <c r="AN11" i="111"/>
  <c r="AL11" i="111"/>
  <c r="AM11" i="111" s="1"/>
  <c r="AL14" i="111" s="1"/>
  <c r="AJ11" i="111"/>
  <c r="AK11" i="111" s="1"/>
  <c r="AK12" i="111" s="1"/>
  <c r="R11" i="111"/>
  <c r="Q11" i="111"/>
  <c r="Q12" i="111" s="1"/>
  <c r="Q14" i="111" s="1"/>
  <c r="P11" i="111"/>
  <c r="P12" i="111" s="1"/>
  <c r="P14" i="111" s="1"/>
  <c r="O11" i="111"/>
  <c r="O12" i="111" s="1"/>
  <c r="O14" i="111" s="1"/>
  <c r="N11" i="111"/>
  <c r="N12" i="111" s="1"/>
  <c r="N14" i="111" s="1"/>
  <c r="M11" i="111"/>
  <c r="M12" i="111" s="1"/>
  <c r="M14" i="111" s="1"/>
  <c r="L11" i="111"/>
  <c r="L12" i="111" s="1"/>
  <c r="L14" i="111" s="1"/>
  <c r="F11" i="111"/>
  <c r="F14" i="111" s="1"/>
  <c r="D11" i="111"/>
  <c r="B11" i="111"/>
  <c r="B14" i="111" s="1"/>
  <c r="AS10" i="111"/>
  <c r="AQ10" i="111"/>
  <c r="AO10" i="111"/>
  <c r="AM10" i="111"/>
  <c r="AK10" i="111"/>
  <c r="S10" i="111"/>
  <c r="R10" i="111"/>
  <c r="I10" i="111"/>
  <c r="J10" i="111" s="1"/>
  <c r="G10" i="111"/>
  <c r="E10" i="111"/>
  <c r="C10" i="111"/>
  <c r="AS9" i="111"/>
  <c r="AQ9" i="111"/>
  <c r="AO9" i="111"/>
  <c r="AM9" i="111"/>
  <c r="AK9" i="111"/>
  <c r="S9" i="111"/>
  <c r="R9" i="111"/>
  <c r="I9" i="111"/>
  <c r="J9" i="111" s="1"/>
  <c r="G9" i="111"/>
  <c r="E9" i="111"/>
  <c r="C9" i="111"/>
  <c r="BB8" i="111"/>
  <c r="AZ8" i="111"/>
  <c r="AX8" i="111"/>
  <c r="AV8" i="111"/>
  <c r="AS8" i="111"/>
  <c r="AQ8" i="111"/>
  <c r="AO8" i="111"/>
  <c r="AM8" i="111"/>
  <c r="AK8" i="111"/>
  <c r="AF8" i="111"/>
  <c r="AE15" i="111" s="1"/>
  <c r="AD8" i="111"/>
  <c r="AC15" i="111" s="1"/>
  <c r="AB8" i="111"/>
  <c r="Z8" i="111"/>
  <c r="X8" i="111"/>
  <c r="W15" i="111" s="1"/>
  <c r="S8" i="111"/>
  <c r="R8" i="111"/>
  <c r="I8" i="111"/>
  <c r="J8" i="111" s="1"/>
  <c r="G8" i="111"/>
  <c r="E8" i="111"/>
  <c r="C8" i="111"/>
  <c r="BB7" i="111"/>
  <c r="AZ7" i="111"/>
  <c r="AX7" i="111"/>
  <c r="AV7" i="111"/>
  <c r="AS7" i="111"/>
  <c r="AQ7" i="111"/>
  <c r="AO7" i="111"/>
  <c r="AM7" i="111"/>
  <c r="AK7" i="111"/>
  <c r="AF7" i="111"/>
  <c r="AD7" i="111"/>
  <c r="AB7" i="111"/>
  <c r="Z7" i="111"/>
  <c r="X7" i="111"/>
  <c r="S7" i="111"/>
  <c r="R7" i="111"/>
  <c r="R12" i="111" s="1"/>
  <c r="R14" i="111" s="1"/>
  <c r="I7" i="111"/>
  <c r="J7" i="111" s="1"/>
  <c r="G7" i="111"/>
  <c r="E7" i="111"/>
  <c r="C7" i="111"/>
  <c r="A30" i="106"/>
  <c r="AU22" i="106"/>
  <c r="AT22" i="106"/>
  <c r="AR22" i="106"/>
  <c r="AS22" i="106" s="1"/>
  <c r="AS23" i="106" s="1"/>
  <c r="AP22" i="106"/>
  <c r="AQ22" i="106" s="1"/>
  <c r="AN22" i="106"/>
  <c r="AO22" i="106" s="1"/>
  <c r="AM22" i="106"/>
  <c r="AL25" i="106" s="1"/>
  <c r="AL22" i="106"/>
  <c r="F22" i="106"/>
  <c r="F25" i="106" s="1"/>
  <c r="D22" i="106"/>
  <c r="I22" i="106" s="1"/>
  <c r="J22" i="106" s="1"/>
  <c r="B22" i="106"/>
  <c r="B25" i="106" s="1"/>
  <c r="AU21" i="106"/>
  <c r="AS21" i="106"/>
  <c r="AQ21" i="106"/>
  <c r="AO21" i="106"/>
  <c r="AM21" i="106"/>
  <c r="I21" i="106"/>
  <c r="J21" i="106" s="1"/>
  <c r="G21" i="106"/>
  <c r="E21" i="106"/>
  <c r="C21" i="106"/>
  <c r="AU20" i="106"/>
  <c r="AS20" i="106"/>
  <c r="AQ20" i="106"/>
  <c r="AO20" i="106"/>
  <c r="AM20" i="106"/>
  <c r="I20" i="106"/>
  <c r="J20" i="106" s="1"/>
  <c r="G20" i="106"/>
  <c r="E20" i="106"/>
  <c r="C20" i="106"/>
  <c r="AU19" i="106"/>
  <c r="AS19" i="106"/>
  <c r="AQ19" i="106"/>
  <c r="AO19" i="106"/>
  <c r="AM19" i="106"/>
  <c r="AH19" i="106"/>
  <c r="AF19" i="106"/>
  <c r="AD19" i="106"/>
  <c r="AB19" i="106"/>
  <c r="Z19" i="106"/>
  <c r="I19" i="106"/>
  <c r="J19" i="106" s="1"/>
  <c r="G19" i="106"/>
  <c r="E19" i="106"/>
  <c r="C19" i="106"/>
  <c r="AU18" i="106"/>
  <c r="AS18" i="106"/>
  <c r="AQ18" i="106"/>
  <c r="AO18" i="106"/>
  <c r="AM18" i="106"/>
  <c r="AH18" i="106"/>
  <c r="AF18" i="106"/>
  <c r="AD18" i="106"/>
  <c r="AB18" i="106"/>
  <c r="Z18" i="106"/>
  <c r="I18" i="106"/>
  <c r="J18" i="106" s="1"/>
  <c r="G18" i="106"/>
  <c r="E18" i="106"/>
  <c r="C18" i="106"/>
  <c r="R12" i="106"/>
  <c r="R14" i="106" s="1"/>
  <c r="N12" i="106"/>
  <c r="N14" i="106" s="1"/>
  <c r="AT11" i="106"/>
  <c r="AU11" i="106" s="1"/>
  <c r="AT14" i="106" s="1"/>
  <c r="AR11" i="106"/>
  <c r="AS11" i="106" s="1"/>
  <c r="AR14" i="106" s="1"/>
  <c r="AP11" i="106"/>
  <c r="AQ11" i="106" s="1"/>
  <c r="AN11" i="106"/>
  <c r="AO11" i="106" s="1"/>
  <c r="AL11" i="106"/>
  <c r="AM11" i="106" s="1"/>
  <c r="S11" i="106"/>
  <c r="S12" i="106" s="1"/>
  <c r="S14" i="106" s="1"/>
  <c r="R11" i="106"/>
  <c r="Q11" i="106"/>
  <c r="P11" i="106"/>
  <c r="P12" i="106" s="1"/>
  <c r="P14" i="106" s="1"/>
  <c r="O11" i="106"/>
  <c r="O12" i="106" s="1"/>
  <c r="O14" i="106" s="1"/>
  <c r="N11" i="106"/>
  <c r="M11" i="106"/>
  <c r="L11" i="106"/>
  <c r="L12" i="106" s="1"/>
  <c r="L14" i="106" s="1"/>
  <c r="F11" i="106"/>
  <c r="F14" i="106" s="1"/>
  <c r="D11" i="106"/>
  <c r="B11" i="106"/>
  <c r="B14" i="106" s="1"/>
  <c r="AU10" i="106"/>
  <c r="AS10" i="106"/>
  <c r="AQ10" i="106"/>
  <c r="AO10" i="106"/>
  <c r="AM10" i="106"/>
  <c r="U10" i="106"/>
  <c r="T10" i="106"/>
  <c r="I10" i="106"/>
  <c r="J10" i="106" s="1"/>
  <c r="G10" i="106"/>
  <c r="E10" i="106"/>
  <c r="C10" i="106"/>
  <c r="AU9" i="106"/>
  <c r="AS9" i="106"/>
  <c r="AQ9" i="106"/>
  <c r="AO9" i="106"/>
  <c r="AM9" i="106"/>
  <c r="U9" i="106"/>
  <c r="T9" i="106"/>
  <c r="I9" i="106"/>
  <c r="J9" i="106" s="1"/>
  <c r="G9" i="106"/>
  <c r="E9" i="106"/>
  <c r="C9" i="106"/>
  <c r="AZ8" i="106"/>
  <c r="AX8" i="106"/>
  <c r="AU8" i="106"/>
  <c r="AS8" i="106"/>
  <c r="AQ8" i="106"/>
  <c r="AO8" i="106"/>
  <c r="AM8" i="106"/>
  <c r="AH8" i="106"/>
  <c r="AF8" i="106"/>
  <c r="AD8" i="106"/>
  <c r="AC15" i="106" s="1"/>
  <c r="AB8" i="106"/>
  <c r="AA15" i="106" s="1"/>
  <c r="Z8" i="106"/>
  <c r="Y15" i="106" s="1"/>
  <c r="U8" i="106"/>
  <c r="T8" i="106"/>
  <c r="J8" i="106"/>
  <c r="I8" i="106"/>
  <c r="G8" i="106"/>
  <c r="E8" i="106"/>
  <c r="C8" i="106"/>
  <c r="AZ7" i="106"/>
  <c r="AX7" i="106"/>
  <c r="AU7" i="106"/>
  <c r="AS7" i="106"/>
  <c r="AQ7" i="106"/>
  <c r="AO7" i="106"/>
  <c r="AM7" i="106"/>
  <c r="AH7" i="106"/>
  <c r="AF7" i="106"/>
  <c r="AD7" i="106"/>
  <c r="AB7" i="106"/>
  <c r="Z7" i="106"/>
  <c r="U7" i="106"/>
  <c r="T7" i="106"/>
  <c r="I7" i="106"/>
  <c r="J7" i="106" s="1"/>
  <c r="G7" i="106"/>
  <c r="E7" i="106"/>
  <c r="C7" i="106"/>
  <c r="A30" i="107"/>
  <c r="AT22" i="107"/>
  <c r="AU22" i="107" s="1"/>
  <c r="AR22" i="107"/>
  <c r="AS22" i="107" s="1"/>
  <c r="AR25" i="107" s="1"/>
  <c r="AP22" i="107"/>
  <c r="AQ22" i="107" s="1"/>
  <c r="AP25" i="107" s="1"/>
  <c r="AN22" i="107"/>
  <c r="AO22" i="107" s="1"/>
  <c r="AL22" i="107"/>
  <c r="AM22" i="107" s="1"/>
  <c r="F22" i="107"/>
  <c r="D22" i="107"/>
  <c r="D25" i="107" s="1"/>
  <c r="B22" i="107"/>
  <c r="B25" i="107" s="1"/>
  <c r="AU21" i="107"/>
  <c r="AS21" i="107"/>
  <c r="AQ21" i="107"/>
  <c r="AO21" i="107"/>
  <c r="AM21" i="107"/>
  <c r="I21" i="107"/>
  <c r="J21" i="107" s="1"/>
  <c r="G21" i="107"/>
  <c r="E21" i="107"/>
  <c r="C21" i="107"/>
  <c r="AU20" i="107"/>
  <c r="AS20" i="107"/>
  <c r="AQ20" i="107"/>
  <c r="AO20" i="107"/>
  <c r="AM20" i="107"/>
  <c r="I20" i="107"/>
  <c r="J20" i="107" s="1"/>
  <c r="G20" i="107"/>
  <c r="E20" i="107"/>
  <c r="C20" i="107"/>
  <c r="AU19" i="107"/>
  <c r="AS19" i="107"/>
  <c r="AQ19" i="107"/>
  <c r="AO19" i="107"/>
  <c r="AM19" i="107"/>
  <c r="AH19" i="107"/>
  <c r="AF19" i="107"/>
  <c r="AD19" i="107"/>
  <c r="AB19" i="107"/>
  <c r="Z19" i="107"/>
  <c r="I19" i="107"/>
  <c r="J19" i="107" s="1"/>
  <c r="G19" i="107"/>
  <c r="E19" i="107"/>
  <c r="C19" i="107"/>
  <c r="AU18" i="107"/>
  <c r="AS18" i="107"/>
  <c r="AQ18" i="107"/>
  <c r="AO18" i="107"/>
  <c r="AM18" i="107"/>
  <c r="AH18" i="107"/>
  <c r="AF18" i="107"/>
  <c r="AD18" i="107"/>
  <c r="AB18" i="107"/>
  <c r="Z18" i="107"/>
  <c r="I18" i="107"/>
  <c r="J18" i="107" s="1"/>
  <c r="G18" i="107"/>
  <c r="E18" i="107"/>
  <c r="C18" i="107"/>
  <c r="AU15" i="107"/>
  <c r="AC15" i="107"/>
  <c r="AT11" i="107"/>
  <c r="AU11" i="107" s="1"/>
  <c r="AT14" i="107" s="1"/>
  <c r="AS11" i="107"/>
  <c r="AR11" i="107"/>
  <c r="AP11" i="107"/>
  <c r="AQ11" i="107" s="1"/>
  <c r="AQ12" i="107" s="1"/>
  <c r="AN11" i="107"/>
  <c r="AO11" i="107" s="1"/>
  <c r="AL11" i="107"/>
  <c r="AM11" i="107" s="1"/>
  <c r="S11" i="107"/>
  <c r="S12" i="107" s="1"/>
  <c r="S14" i="107" s="1"/>
  <c r="R11" i="107"/>
  <c r="R12" i="107" s="1"/>
  <c r="R14" i="107" s="1"/>
  <c r="Q11" i="107"/>
  <c r="P11" i="107"/>
  <c r="P12" i="107" s="1"/>
  <c r="P14" i="107" s="1"/>
  <c r="O11" i="107"/>
  <c r="O12" i="107" s="1"/>
  <c r="O14" i="107" s="1"/>
  <c r="N11" i="107"/>
  <c r="N12" i="107" s="1"/>
  <c r="N14" i="107" s="1"/>
  <c r="M11" i="107"/>
  <c r="L11" i="107"/>
  <c r="L12" i="107" s="1"/>
  <c r="L14" i="107" s="1"/>
  <c r="F11" i="107"/>
  <c r="F14" i="107" s="1"/>
  <c r="D11" i="107"/>
  <c r="B11" i="107"/>
  <c r="B14" i="107" s="1"/>
  <c r="AU10" i="107"/>
  <c r="AS10" i="107"/>
  <c r="AQ10" i="107"/>
  <c r="AO10" i="107"/>
  <c r="AM10" i="107"/>
  <c r="U10" i="107"/>
  <c r="T10" i="107"/>
  <c r="I10" i="107"/>
  <c r="J10" i="107" s="1"/>
  <c r="G10" i="107"/>
  <c r="E10" i="107"/>
  <c r="C10" i="107"/>
  <c r="AU9" i="107"/>
  <c r="AS9" i="107"/>
  <c r="AQ9" i="107"/>
  <c r="AO9" i="107"/>
  <c r="AM9" i="107"/>
  <c r="U9" i="107"/>
  <c r="T9" i="107"/>
  <c r="I9" i="107"/>
  <c r="J9" i="107" s="1"/>
  <c r="G9" i="107"/>
  <c r="E9" i="107"/>
  <c r="C9" i="107"/>
  <c r="AZ8" i="107"/>
  <c r="AX8" i="107"/>
  <c r="AU8" i="107"/>
  <c r="AS8" i="107"/>
  <c r="AQ8" i="107"/>
  <c r="AO8" i="107"/>
  <c r="AM8" i="107"/>
  <c r="AH8" i="107"/>
  <c r="AG15" i="107" s="1"/>
  <c r="AF8" i="107"/>
  <c r="AD8" i="107"/>
  <c r="AB8" i="107"/>
  <c r="AA15" i="107" s="1"/>
  <c r="Z8" i="107"/>
  <c r="Y15" i="107" s="1"/>
  <c r="U8" i="107"/>
  <c r="T8" i="107"/>
  <c r="I8" i="107"/>
  <c r="J8" i="107" s="1"/>
  <c r="G8" i="107"/>
  <c r="E8" i="107"/>
  <c r="C8" i="107"/>
  <c r="AZ7" i="107"/>
  <c r="AX7" i="107"/>
  <c r="AU7" i="107"/>
  <c r="AS7" i="107"/>
  <c r="AQ7" i="107"/>
  <c r="AO7" i="107"/>
  <c r="AM7" i="107"/>
  <c r="AH7" i="107"/>
  <c r="AF7" i="107"/>
  <c r="AD7" i="107"/>
  <c r="AB7" i="107"/>
  <c r="Z7" i="107"/>
  <c r="U7" i="107"/>
  <c r="T7" i="107"/>
  <c r="I7" i="107"/>
  <c r="J7" i="107" s="1"/>
  <c r="G7" i="107"/>
  <c r="E7" i="107"/>
  <c r="C7" i="107"/>
  <c r="A30" i="101"/>
  <c r="F25" i="101"/>
  <c r="AR22" i="101"/>
  <c r="AS22" i="101" s="1"/>
  <c r="AP22" i="101"/>
  <c r="AQ22" i="101" s="1"/>
  <c r="AP25" i="101" s="1"/>
  <c r="AN22" i="101"/>
  <c r="AO22" i="101" s="1"/>
  <c r="AL22" i="101"/>
  <c r="AM22" i="101" s="1"/>
  <c r="AM23" i="101" s="1"/>
  <c r="AJ22" i="101"/>
  <c r="AK22" i="101" s="1"/>
  <c r="AJ25" i="101" s="1"/>
  <c r="F22" i="101"/>
  <c r="D22" i="101"/>
  <c r="B22" i="101"/>
  <c r="B25" i="101" s="1"/>
  <c r="AS21" i="101"/>
  <c r="AQ21" i="101"/>
  <c r="AO21" i="101"/>
  <c r="AM21" i="101"/>
  <c r="AK21" i="101"/>
  <c r="I21" i="101"/>
  <c r="J21" i="101" s="1"/>
  <c r="G21" i="101"/>
  <c r="E21" i="101"/>
  <c r="C21" i="101"/>
  <c r="AS20" i="101"/>
  <c r="AQ20" i="101"/>
  <c r="AO20" i="101"/>
  <c r="AM20" i="101"/>
  <c r="AK20" i="101"/>
  <c r="I20" i="101"/>
  <c r="J20" i="101" s="1"/>
  <c r="G20" i="101"/>
  <c r="E20" i="101"/>
  <c r="C20" i="101"/>
  <c r="AS19" i="101"/>
  <c r="AQ19" i="101"/>
  <c r="AO19" i="101"/>
  <c r="AM19" i="101"/>
  <c r="AK19" i="101"/>
  <c r="AF19" i="101"/>
  <c r="AD19" i="101"/>
  <c r="AB19" i="101"/>
  <c r="AA15" i="101" s="1"/>
  <c r="Z19" i="101"/>
  <c r="X19" i="101"/>
  <c r="I19" i="101"/>
  <c r="J19" i="101" s="1"/>
  <c r="G19" i="101"/>
  <c r="E19" i="101"/>
  <c r="C19" i="101"/>
  <c r="AS18" i="101"/>
  <c r="AQ18" i="101"/>
  <c r="AO18" i="101"/>
  <c r="AM18" i="101"/>
  <c r="AK18" i="101"/>
  <c r="AF18" i="101"/>
  <c r="AD18" i="101"/>
  <c r="AB18" i="101"/>
  <c r="Z18" i="101"/>
  <c r="X18" i="101"/>
  <c r="I18" i="101"/>
  <c r="J18" i="101" s="1"/>
  <c r="G18" i="101"/>
  <c r="E18" i="101"/>
  <c r="C18" i="101"/>
  <c r="AR11" i="101"/>
  <c r="AS11" i="101" s="1"/>
  <c r="AR15" i="101" s="1"/>
  <c r="AP11" i="101"/>
  <c r="AQ11" i="101" s="1"/>
  <c r="AN11" i="101"/>
  <c r="AO11" i="101" s="1"/>
  <c r="AN14" i="101" s="1"/>
  <c r="AL11" i="101"/>
  <c r="AM11" i="101" s="1"/>
  <c r="AJ11" i="101"/>
  <c r="AK11" i="101" s="1"/>
  <c r="Q11" i="101"/>
  <c r="P11" i="101"/>
  <c r="P12" i="101" s="1"/>
  <c r="P14" i="101" s="1"/>
  <c r="O11" i="101"/>
  <c r="O12" i="101" s="1"/>
  <c r="O14" i="101" s="1"/>
  <c r="N11" i="101"/>
  <c r="M11" i="101"/>
  <c r="M12" i="101" s="1"/>
  <c r="M14" i="101" s="1"/>
  <c r="L11" i="101"/>
  <c r="L12" i="101" s="1"/>
  <c r="L14" i="101" s="1"/>
  <c r="F11" i="101"/>
  <c r="F14" i="101" s="1"/>
  <c r="D11" i="101"/>
  <c r="D14" i="101" s="1"/>
  <c r="B11" i="101"/>
  <c r="B14" i="101" s="1"/>
  <c r="AS10" i="101"/>
  <c r="AQ10" i="101"/>
  <c r="AO10" i="101"/>
  <c r="AM10" i="101"/>
  <c r="AK10" i="101"/>
  <c r="S10" i="101"/>
  <c r="R10" i="101"/>
  <c r="I10" i="101"/>
  <c r="J10" i="101" s="1"/>
  <c r="G10" i="101"/>
  <c r="E10" i="101"/>
  <c r="C10" i="101"/>
  <c r="AS9" i="101"/>
  <c r="AQ9" i="101"/>
  <c r="AO9" i="101"/>
  <c r="AM9" i="101"/>
  <c r="AK9" i="101"/>
  <c r="S9" i="101"/>
  <c r="R9" i="101"/>
  <c r="I9" i="101"/>
  <c r="J9" i="101" s="1"/>
  <c r="G9" i="101"/>
  <c r="E9" i="101"/>
  <c r="C9" i="101"/>
  <c r="BB8" i="101"/>
  <c r="AZ8" i="101"/>
  <c r="AX8" i="101"/>
  <c r="AV8" i="101"/>
  <c r="AS8" i="101"/>
  <c r="AQ8" i="101"/>
  <c r="AO8" i="101"/>
  <c r="AM8" i="101"/>
  <c r="AK8" i="101"/>
  <c r="AF8" i="101"/>
  <c r="AE15" i="101" s="1"/>
  <c r="AD8" i="101"/>
  <c r="AB8" i="101"/>
  <c r="Z8" i="101"/>
  <c r="Y15" i="101" s="1"/>
  <c r="X8" i="101"/>
  <c r="W15" i="101" s="1"/>
  <c r="S8" i="101"/>
  <c r="R8" i="101"/>
  <c r="I8" i="101"/>
  <c r="J8" i="101" s="1"/>
  <c r="G8" i="101"/>
  <c r="E8" i="101"/>
  <c r="C8" i="101"/>
  <c r="BB7" i="101"/>
  <c r="AZ7" i="101"/>
  <c r="AX7" i="101"/>
  <c r="AV7" i="101"/>
  <c r="AS7" i="101"/>
  <c r="AQ7" i="101"/>
  <c r="AO7" i="101"/>
  <c r="AM7" i="101"/>
  <c r="AK7" i="101"/>
  <c r="AF7" i="101"/>
  <c r="AD7" i="101"/>
  <c r="AB7" i="101"/>
  <c r="Z7" i="101"/>
  <c r="X7" i="101"/>
  <c r="S7" i="101"/>
  <c r="R7" i="101"/>
  <c r="J7" i="101"/>
  <c r="I7" i="101"/>
  <c r="G7" i="101"/>
  <c r="E7" i="101"/>
  <c r="C7" i="101"/>
  <c r="A30" i="97"/>
  <c r="AR25" i="97"/>
  <c r="F25" i="97"/>
  <c r="AR22" i="97"/>
  <c r="AS22" i="97" s="1"/>
  <c r="AS23" i="97" s="1"/>
  <c r="AP22" i="97"/>
  <c r="AQ22" i="97" s="1"/>
  <c r="AN22" i="97"/>
  <c r="AO22" i="97" s="1"/>
  <c r="AO23" i="97" s="1"/>
  <c r="AL22" i="97"/>
  <c r="AM22" i="97" s="1"/>
  <c r="AJ22" i="97"/>
  <c r="AK22" i="97" s="1"/>
  <c r="AJ25" i="97" s="1"/>
  <c r="F22" i="97"/>
  <c r="D22" i="97"/>
  <c r="I22" i="97" s="1"/>
  <c r="J22" i="97" s="1"/>
  <c r="B22" i="97"/>
  <c r="B25" i="97" s="1"/>
  <c r="AS21" i="97"/>
  <c r="AQ21" i="97"/>
  <c r="AO21" i="97"/>
  <c r="AM21" i="97"/>
  <c r="AK21" i="97"/>
  <c r="P21" i="97"/>
  <c r="O21" i="97"/>
  <c r="I21" i="97"/>
  <c r="J21" i="97" s="1"/>
  <c r="G21" i="97"/>
  <c r="E21" i="97"/>
  <c r="C21" i="97"/>
  <c r="AS20" i="97"/>
  <c r="AQ20" i="97"/>
  <c r="AO20" i="97"/>
  <c r="AM20" i="97"/>
  <c r="AK20" i="97"/>
  <c r="P20" i="97"/>
  <c r="P22" i="97" s="1"/>
  <c r="O20" i="97"/>
  <c r="I20" i="97"/>
  <c r="J20" i="97" s="1"/>
  <c r="G20" i="97"/>
  <c r="E20" i="97"/>
  <c r="C20" i="97"/>
  <c r="AS19" i="97"/>
  <c r="AQ19" i="97"/>
  <c r="AO19" i="97"/>
  <c r="AM19" i="97"/>
  <c r="AK19" i="97"/>
  <c r="AF19" i="97"/>
  <c r="AD19" i="97"/>
  <c r="AB19" i="97"/>
  <c r="Z19" i="97"/>
  <c r="X19" i="97"/>
  <c r="J19" i="97"/>
  <c r="I19" i="97"/>
  <c r="G19" i="97"/>
  <c r="E19" i="97"/>
  <c r="C19" i="97"/>
  <c r="AS18" i="97"/>
  <c r="AQ18" i="97"/>
  <c r="AO18" i="97"/>
  <c r="AM18" i="97"/>
  <c r="AK18" i="97"/>
  <c r="AF18" i="97"/>
  <c r="AD18" i="97"/>
  <c r="AB18" i="97"/>
  <c r="Z18" i="97"/>
  <c r="X18" i="97"/>
  <c r="I18" i="97"/>
  <c r="J18" i="97" s="1"/>
  <c r="G18" i="97"/>
  <c r="E18" i="97"/>
  <c r="C18" i="97"/>
  <c r="M12" i="97"/>
  <c r="M14" i="97" s="1"/>
  <c r="L12" i="97"/>
  <c r="L14" i="97" s="1"/>
  <c r="AR11" i="97"/>
  <c r="AS11" i="97" s="1"/>
  <c r="AR15" i="97" s="1"/>
  <c r="AP11" i="97"/>
  <c r="AQ11" i="97" s="1"/>
  <c r="AN11" i="97"/>
  <c r="AO11" i="97" s="1"/>
  <c r="AL11" i="97"/>
  <c r="AM11" i="97" s="1"/>
  <c r="AL15" i="97" s="1"/>
  <c r="AJ11" i="97"/>
  <c r="AK11" i="97" s="1"/>
  <c r="Q11" i="97"/>
  <c r="Q12" i="97" s="1"/>
  <c r="Q14" i="97" s="1"/>
  <c r="P11" i="97"/>
  <c r="P12" i="97" s="1"/>
  <c r="P14" i="97" s="1"/>
  <c r="O11" i="97"/>
  <c r="O12" i="97" s="1"/>
  <c r="O14" i="97" s="1"/>
  <c r="N11" i="97"/>
  <c r="N12" i="97" s="1"/>
  <c r="N14" i="97" s="1"/>
  <c r="M11" i="97"/>
  <c r="L11" i="97"/>
  <c r="F11" i="97"/>
  <c r="D11" i="97"/>
  <c r="B11" i="97"/>
  <c r="C11" i="97" s="1"/>
  <c r="AS10" i="97"/>
  <c r="AQ10" i="97"/>
  <c r="AO10" i="97"/>
  <c r="AM10" i="97"/>
  <c r="AK10" i="97"/>
  <c r="S10" i="97"/>
  <c r="R10" i="97"/>
  <c r="J10" i="97"/>
  <c r="I10" i="97"/>
  <c r="G10" i="97"/>
  <c r="E10" i="97"/>
  <c r="C10" i="97"/>
  <c r="AS9" i="97"/>
  <c r="AQ9" i="97"/>
  <c r="AO9" i="97"/>
  <c r="AM9" i="97"/>
  <c r="AK9" i="97"/>
  <c r="S9" i="97"/>
  <c r="R9" i="97"/>
  <c r="I9" i="97"/>
  <c r="J9" i="97" s="1"/>
  <c r="G9" i="97"/>
  <c r="E9" i="97"/>
  <c r="C9" i="97"/>
  <c r="BB8" i="97"/>
  <c r="AZ8" i="97"/>
  <c r="AX8" i="97"/>
  <c r="AV8" i="97"/>
  <c r="AS8" i="97"/>
  <c r="AQ8" i="97"/>
  <c r="AO8" i="97"/>
  <c r="AM8" i="97"/>
  <c r="AK8" i="97"/>
  <c r="AF8" i="97"/>
  <c r="AE15" i="97" s="1"/>
  <c r="AD8" i="97"/>
  <c r="AC15" i="97" s="1"/>
  <c r="AB8" i="97"/>
  <c r="Z8" i="97"/>
  <c r="X8" i="97"/>
  <c r="W15" i="97" s="1"/>
  <c r="S8" i="97"/>
  <c r="R8" i="97"/>
  <c r="I8" i="97"/>
  <c r="J8" i="97" s="1"/>
  <c r="G8" i="97"/>
  <c r="E8" i="97"/>
  <c r="C8" i="97"/>
  <c r="BB7" i="97"/>
  <c r="AZ7" i="97"/>
  <c r="AX7" i="97"/>
  <c r="AV7" i="97"/>
  <c r="AS7" i="97"/>
  <c r="AQ7" i="97"/>
  <c r="AO7" i="97"/>
  <c r="AM7" i="97"/>
  <c r="AK7" i="97"/>
  <c r="AF7" i="97"/>
  <c r="AD7" i="97"/>
  <c r="AB7" i="97"/>
  <c r="Z7" i="97"/>
  <c r="X7" i="97"/>
  <c r="S7" i="97"/>
  <c r="R7" i="97"/>
  <c r="J7" i="97"/>
  <c r="I7" i="97"/>
  <c r="G7" i="97"/>
  <c r="E7" i="97"/>
  <c r="C7" i="97"/>
  <c r="AO47" i="94"/>
  <c r="AN46" i="94"/>
  <c r="AO46" i="94" s="1"/>
  <c r="AN49" i="94" s="1"/>
  <c r="AM46" i="94"/>
  <c r="AM47" i="94" s="1"/>
  <c r="AL46" i="94"/>
  <c r="AO45" i="94"/>
  <c r="AM45" i="94"/>
  <c r="AO44" i="94"/>
  <c r="AM44" i="94"/>
  <c r="AO43" i="94"/>
  <c r="AM43" i="94"/>
  <c r="AO42" i="94"/>
  <c r="AM42" i="94"/>
  <c r="AN34" i="94"/>
  <c r="AO34" i="94" s="1"/>
  <c r="AN37" i="94" s="1"/>
  <c r="AM34" i="94"/>
  <c r="AM35" i="94" s="1"/>
  <c r="AL34" i="94"/>
  <c r="AO33" i="94"/>
  <c r="AM33" i="94"/>
  <c r="AO32" i="94"/>
  <c r="AM32" i="94"/>
  <c r="AO31" i="94"/>
  <c r="AM31" i="94"/>
  <c r="AO30" i="94"/>
  <c r="AM30" i="94"/>
  <c r="A30" i="94"/>
  <c r="AS23" i="94"/>
  <c r="AR22" i="94"/>
  <c r="AS22" i="94" s="1"/>
  <c r="AR25" i="94" s="1"/>
  <c r="AP22" i="94"/>
  <c r="AQ22" i="94" s="1"/>
  <c r="AQ23" i="94" s="1"/>
  <c r="AN22" i="94"/>
  <c r="AO22" i="94" s="1"/>
  <c r="AL22" i="94"/>
  <c r="AM22" i="94" s="1"/>
  <c r="AJ22" i="94"/>
  <c r="AK22" i="94" s="1"/>
  <c r="AJ25" i="94" s="1"/>
  <c r="N22" i="94"/>
  <c r="M22" i="94"/>
  <c r="F22" i="94"/>
  <c r="F25" i="94" s="1"/>
  <c r="D22" i="94"/>
  <c r="D25" i="94" s="1"/>
  <c r="B22" i="94"/>
  <c r="B25" i="94" s="1"/>
  <c r="AS21" i="94"/>
  <c r="AQ21" i="94"/>
  <c r="AO21" i="94"/>
  <c r="AM21" i="94"/>
  <c r="AK21" i="94"/>
  <c r="I21" i="94"/>
  <c r="J21" i="94" s="1"/>
  <c r="G21" i="94"/>
  <c r="E21" i="94"/>
  <c r="C21" i="94"/>
  <c r="AS20" i="94"/>
  <c r="AQ20" i="94"/>
  <c r="AO20" i="94"/>
  <c r="AM20" i="94"/>
  <c r="AK20" i="94"/>
  <c r="I20" i="94"/>
  <c r="J20" i="94" s="1"/>
  <c r="G20" i="94"/>
  <c r="E20" i="94"/>
  <c r="C20" i="94"/>
  <c r="AS19" i="94"/>
  <c r="AQ19" i="94"/>
  <c r="AO19" i="94"/>
  <c r="AM19" i="94"/>
  <c r="AK19" i="94"/>
  <c r="AF19" i="94"/>
  <c r="AD19" i="94"/>
  <c r="AB19" i="94"/>
  <c r="Z19" i="94"/>
  <c r="X19" i="94"/>
  <c r="I19" i="94"/>
  <c r="J19" i="94" s="1"/>
  <c r="G19" i="94"/>
  <c r="E19" i="94"/>
  <c r="C19" i="94"/>
  <c r="AS18" i="94"/>
  <c r="AQ18" i="94"/>
  <c r="AO18" i="94"/>
  <c r="AM18" i="94"/>
  <c r="AK18" i="94"/>
  <c r="AF18" i="94"/>
  <c r="AD18" i="94"/>
  <c r="AB18" i="94"/>
  <c r="Z18" i="94"/>
  <c r="X18" i="94"/>
  <c r="I18" i="94"/>
  <c r="J18" i="94" s="1"/>
  <c r="G18" i="94"/>
  <c r="E18" i="94"/>
  <c r="C18" i="94"/>
  <c r="AE15" i="94"/>
  <c r="L12" i="94"/>
  <c r="L14" i="94" s="1"/>
  <c r="AR11" i="94"/>
  <c r="AS11" i="94" s="1"/>
  <c r="AP11" i="94"/>
  <c r="AQ11" i="94" s="1"/>
  <c r="AN11" i="94"/>
  <c r="AO11" i="94" s="1"/>
  <c r="AN14" i="94" s="1"/>
  <c r="AL11" i="94"/>
  <c r="AM11" i="94" s="1"/>
  <c r="AJ11" i="94"/>
  <c r="AK11" i="94" s="1"/>
  <c r="Q11" i="94"/>
  <c r="Q12" i="94" s="1"/>
  <c r="Q14" i="94" s="1"/>
  <c r="P11" i="94"/>
  <c r="P12" i="94" s="1"/>
  <c r="P14" i="94" s="1"/>
  <c r="O11" i="94"/>
  <c r="O12" i="94" s="1"/>
  <c r="O14" i="94" s="1"/>
  <c r="N11" i="94"/>
  <c r="N12" i="94" s="1"/>
  <c r="N14" i="94" s="1"/>
  <c r="M11" i="94"/>
  <c r="M12" i="94" s="1"/>
  <c r="M14" i="94" s="1"/>
  <c r="L11" i="94"/>
  <c r="F11" i="94"/>
  <c r="F14" i="94" s="1"/>
  <c r="D11" i="94"/>
  <c r="D14" i="94" s="1"/>
  <c r="B11" i="94"/>
  <c r="AS10" i="94"/>
  <c r="AQ10" i="94"/>
  <c r="AO10" i="94"/>
  <c r="AM10" i="94"/>
  <c r="AK10" i="94"/>
  <c r="S10" i="94"/>
  <c r="R10" i="94"/>
  <c r="I10" i="94"/>
  <c r="J10" i="94" s="1"/>
  <c r="G10" i="94"/>
  <c r="E10" i="94"/>
  <c r="C10" i="94"/>
  <c r="AS9" i="94"/>
  <c r="AQ9" i="94"/>
  <c r="AO9" i="94"/>
  <c r="AM9" i="94"/>
  <c r="AK9" i="94"/>
  <c r="S9" i="94"/>
  <c r="R9" i="94"/>
  <c r="I9" i="94"/>
  <c r="J9" i="94" s="1"/>
  <c r="G9" i="94"/>
  <c r="E9" i="94"/>
  <c r="C9" i="94"/>
  <c r="BB8" i="94"/>
  <c r="AZ8" i="94"/>
  <c r="AX8" i="94"/>
  <c r="AV8" i="94"/>
  <c r="AS8" i="94"/>
  <c r="AQ8" i="94"/>
  <c r="AO8" i="94"/>
  <c r="AM8" i="94"/>
  <c r="AK8" i="94"/>
  <c r="AF8" i="94"/>
  <c r="AD8" i="94"/>
  <c r="AC15" i="94" s="1"/>
  <c r="AB8" i="94"/>
  <c r="AA15" i="94" s="1"/>
  <c r="Z8" i="94"/>
  <c r="Y15" i="94" s="1"/>
  <c r="X8" i="94"/>
  <c r="W15" i="94" s="1"/>
  <c r="S8" i="94"/>
  <c r="R8" i="94"/>
  <c r="J8" i="94"/>
  <c r="I8" i="94"/>
  <c r="G8" i="94"/>
  <c r="E8" i="94"/>
  <c r="C8" i="94"/>
  <c r="BB7" i="94"/>
  <c r="AZ7" i="94"/>
  <c r="AX7" i="94"/>
  <c r="AV7" i="94"/>
  <c r="AS7" i="94"/>
  <c r="AQ7" i="94"/>
  <c r="AO7" i="94"/>
  <c r="AM7" i="94"/>
  <c r="AK7" i="94"/>
  <c r="AF7" i="94"/>
  <c r="AD7" i="94"/>
  <c r="AB7" i="94"/>
  <c r="Z7" i="94"/>
  <c r="X7" i="94"/>
  <c r="S7" i="94"/>
  <c r="R7" i="94"/>
  <c r="J7" i="94"/>
  <c r="I7" i="94"/>
  <c r="G7" i="94"/>
  <c r="E7" i="94"/>
  <c r="C7" i="94"/>
  <c r="A30" i="91"/>
  <c r="F25" i="91"/>
  <c r="AR22" i="91"/>
  <c r="AS22" i="91" s="1"/>
  <c r="AS23" i="91" s="1"/>
  <c r="AQ22" i="91"/>
  <c r="AP22" i="91"/>
  <c r="AN22" i="91"/>
  <c r="AO22" i="91" s="1"/>
  <c r="AL22" i="91"/>
  <c r="AM22" i="91" s="1"/>
  <c r="AL25" i="91" s="1"/>
  <c r="AJ22" i="91"/>
  <c r="AK22" i="91" s="1"/>
  <c r="F22" i="91"/>
  <c r="G22" i="91" s="1"/>
  <c r="D22" i="91"/>
  <c r="B22" i="91"/>
  <c r="AS21" i="91"/>
  <c r="AQ21" i="91"/>
  <c r="AO21" i="91"/>
  <c r="AM21" i="91"/>
  <c r="AK21" i="91"/>
  <c r="J21" i="91"/>
  <c r="I21" i="91"/>
  <c r="G21" i="91"/>
  <c r="E21" i="91"/>
  <c r="C21" i="91"/>
  <c r="AS20" i="91"/>
  <c r="AQ20" i="91"/>
  <c r="AO20" i="91"/>
  <c r="AM20" i="91"/>
  <c r="AK20" i="91"/>
  <c r="I20" i="91"/>
  <c r="J20" i="91" s="1"/>
  <c r="G20" i="91"/>
  <c r="E20" i="91"/>
  <c r="C20" i="91"/>
  <c r="AS19" i="91"/>
  <c r="AQ19" i="91"/>
  <c r="AO19" i="91"/>
  <c r="AM19" i="91"/>
  <c r="AK19" i="91"/>
  <c r="AF19" i="91"/>
  <c r="AD19" i="91"/>
  <c r="AB19" i="91"/>
  <c r="Z19" i="91"/>
  <c r="X19" i="91"/>
  <c r="I19" i="91"/>
  <c r="J19" i="91" s="1"/>
  <c r="G19" i="91"/>
  <c r="E19" i="91"/>
  <c r="C19" i="91"/>
  <c r="AS18" i="91"/>
  <c r="AQ18" i="91"/>
  <c r="AO18" i="91"/>
  <c r="AM18" i="91"/>
  <c r="AK18" i="91"/>
  <c r="AF18" i="91"/>
  <c r="AD18" i="91"/>
  <c r="AB18" i="91"/>
  <c r="Z18" i="91"/>
  <c r="X18" i="91"/>
  <c r="I18" i="91"/>
  <c r="J18" i="91" s="1"/>
  <c r="G18" i="91"/>
  <c r="E18" i="91"/>
  <c r="C18" i="91"/>
  <c r="D14" i="91"/>
  <c r="AK12" i="91"/>
  <c r="AR11" i="91"/>
  <c r="AS11" i="91" s="1"/>
  <c r="AR14" i="91" s="1"/>
  <c r="AP11" i="91"/>
  <c r="AQ11" i="91" s="1"/>
  <c r="AN11" i="91"/>
  <c r="AO11" i="91" s="1"/>
  <c r="AL11" i="91"/>
  <c r="AM11" i="91" s="1"/>
  <c r="AK11" i="91"/>
  <c r="AJ14" i="91" s="1"/>
  <c r="AJ11" i="91"/>
  <c r="Q11" i="91"/>
  <c r="Q12" i="91" s="1"/>
  <c r="Q14" i="91" s="1"/>
  <c r="P11" i="91"/>
  <c r="P12" i="91" s="1"/>
  <c r="P14" i="91" s="1"/>
  <c r="O11" i="91"/>
  <c r="O12" i="91" s="1"/>
  <c r="O14" i="91" s="1"/>
  <c r="N11" i="91"/>
  <c r="N12" i="91" s="1"/>
  <c r="N14" i="91" s="1"/>
  <c r="M11" i="91"/>
  <c r="M12" i="91" s="1"/>
  <c r="M14" i="91" s="1"/>
  <c r="L11" i="91"/>
  <c r="S11" i="91" s="1"/>
  <c r="F11" i="91"/>
  <c r="F14" i="91" s="1"/>
  <c r="D11" i="91"/>
  <c r="B11" i="91"/>
  <c r="B14" i="91" s="1"/>
  <c r="AS10" i="91"/>
  <c r="AQ10" i="91"/>
  <c r="AO10" i="91"/>
  <c r="AM10" i="91"/>
  <c r="AK10" i="91"/>
  <c r="S10" i="91"/>
  <c r="R10" i="91"/>
  <c r="J10" i="91"/>
  <c r="I10" i="91"/>
  <c r="G10" i="91"/>
  <c r="E10" i="91"/>
  <c r="C10" i="91"/>
  <c r="AS9" i="91"/>
  <c r="AQ9" i="91"/>
  <c r="AO9" i="91"/>
  <c r="AM9" i="91"/>
  <c r="AK9" i="91"/>
  <c r="S9" i="91"/>
  <c r="R9" i="91"/>
  <c r="J9" i="91"/>
  <c r="I9" i="91"/>
  <c r="G9" i="91"/>
  <c r="E9" i="91"/>
  <c r="C9" i="91"/>
  <c r="BB8" i="91"/>
  <c r="AZ8" i="91"/>
  <c r="AX8" i="91"/>
  <c r="AV8" i="91"/>
  <c r="AS8" i="91"/>
  <c r="AQ8" i="91"/>
  <c r="AO8" i="91"/>
  <c r="AM8" i="91"/>
  <c r="AK8" i="91"/>
  <c r="AF8" i="91"/>
  <c r="AE15" i="91" s="1"/>
  <c r="AD8" i="91"/>
  <c r="AC15" i="91" s="1"/>
  <c r="AB8" i="91"/>
  <c r="AA15" i="91" s="1"/>
  <c r="Z8" i="91"/>
  <c r="Y15" i="91" s="1"/>
  <c r="X8" i="91"/>
  <c r="S8" i="91"/>
  <c r="R8" i="91"/>
  <c r="I8" i="91"/>
  <c r="J8" i="91" s="1"/>
  <c r="G8" i="91"/>
  <c r="E8" i="91"/>
  <c r="C8" i="91"/>
  <c r="BB7" i="91"/>
  <c r="AZ7" i="91"/>
  <c r="AX7" i="91"/>
  <c r="AV7" i="91"/>
  <c r="AS7" i="91"/>
  <c r="AQ7" i="91"/>
  <c r="AO7" i="91"/>
  <c r="AM7" i="91"/>
  <c r="AK7" i="91"/>
  <c r="AF7" i="91"/>
  <c r="AD7" i="91"/>
  <c r="AB7" i="91"/>
  <c r="Z7" i="91"/>
  <c r="X7" i="91"/>
  <c r="S7" i="91"/>
  <c r="R7" i="91"/>
  <c r="I7" i="91"/>
  <c r="J7" i="91" s="1"/>
  <c r="G7" i="91"/>
  <c r="E7" i="91"/>
  <c r="C7" i="91"/>
  <c r="A30" i="86"/>
  <c r="B25" i="86"/>
  <c r="AO23" i="86"/>
  <c r="AR22" i="86"/>
  <c r="AS22" i="86" s="1"/>
  <c r="AS23" i="86" s="1"/>
  <c r="AP22" i="86"/>
  <c r="AQ22" i="86" s="1"/>
  <c r="AN22" i="86"/>
  <c r="AO22" i="86" s="1"/>
  <c r="AN25" i="86" s="1"/>
  <c r="AL22" i="86"/>
  <c r="AM22" i="86" s="1"/>
  <c r="AJ22" i="86"/>
  <c r="AK22" i="86" s="1"/>
  <c r="AK23" i="86" s="1"/>
  <c r="F22" i="86"/>
  <c r="F25" i="86" s="1"/>
  <c r="D22" i="86"/>
  <c r="D25" i="86" s="1"/>
  <c r="B22" i="86"/>
  <c r="AS21" i="86"/>
  <c r="AQ21" i="86"/>
  <c r="AO21" i="86"/>
  <c r="AM21" i="86"/>
  <c r="AK21" i="86"/>
  <c r="I21" i="86"/>
  <c r="J21" i="86" s="1"/>
  <c r="G21" i="86"/>
  <c r="E21" i="86"/>
  <c r="C21" i="86"/>
  <c r="AS20" i="86"/>
  <c r="AQ20" i="86"/>
  <c r="AO20" i="86"/>
  <c r="AM20" i="86"/>
  <c r="AK20" i="86"/>
  <c r="J20" i="86"/>
  <c r="I20" i="86"/>
  <c r="G20" i="86"/>
  <c r="E20" i="86"/>
  <c r="C20" i="86"/>
  <c r="AS19" i="86"/>
  <c r="AQ19" i="86"/>
  <c r="AO19" i="86"/>
  <c r="AM19" i="86"/>
  <c r="AK19" i="86"/>
  <c r="AF19" i="86"/>
  <c r="AD19" i="86"/>
  <c r="AB19" i="86"/>
  <c r="Z19" i="86"/>
  <c r="X19" i="86"/>
  <c r="I19" i="86"/>
  <c r="J19" i="86" s="1"/>
  <c r="G19" i="86"/>
  <c r="E19" i="86"/>
  <c r="C19" i="86"/>
  <c r="AS18" i="86"/>
  <c r="AQ18" i="86"/>
  <c r="AO18" i="86"/>
  <c r="AM18" i="86"/>
  <c r="AK18" i="86"/>
  <c r="AF18" i="86"/>
  <c r="AD18" i="86"/>
  <c r="AB18" i="86"/>
  <c r="Z18" i="86"/>
  <c r="X18" i="86"/>
  <c r="I18" i="86"/>
  <c r="J18" i="86" s="1"/>
  <c r="G18" i="86"/>
  <c r="E18" i="86"/>
  <c r="C18" i="86"/>
  <c r="Q12" i="86"/>
  <c r="Q14" i="86" s="1"/>
  <c r="AR11" i="86"/>
  <c r="AS11" i="86" s="1"/>
  <c r="AP11" i="86"/>
  <c r="AQ11" i="86" s="1"/>
  <c r="AN11" i="86"/>
  <c r="AO11" i="86" s="1"/>
  <c r="AN15" i="86" s="1"/>
  <c r="AL11" i="86"/>
  <c r="AM11" i="86" s="1"/>
  <c r="AJ11" i="86"/>
  <c r="AK11" i="86" s="1"/>
  <c r="Q11" i="86"/>
  <c r="P11" i="86"/>
  <c r="G22" i="86" s="1"/>
  <c r="O11" i="86"/>
  <c r="O12" i="86" s="1"/>
  <c r="O14" i="86" s="1"/>
  <c r="N11" i="86"/>
  <c r="N12" i="86" s="1"/>
  <c r="N14" i="86" s="1"/>
  <c r="M11" i="86"/>
  <c r="M12" i="86" s="1"/>
  <c r="M14" i="86" s="1"/>
  <c r="L11" i="86"/>
  <c r="F11" i="86"/>
  <c r="D11" i="86"/>
  <c r="D14" i="86" s="1"/>
  <c r="B11" i="86"/>
  <c r="AS10" i="86"/>
  <c r="AQ10" i="86"/>
  <c r="AO10" i="86"/>
  <c r="AM10" i="86"/>
  <c r="AK10" i="86"/>
  <c r="S10" i="86"/>
  <c r="R10" i="86"/>
  <c r="I10" i="86"/>
  <c r="J10" i="86" s="1"/>
  <c r="G10" i="86"/>
  <c r="E10" i="86"/>
  <c r="C10" i="86"/>
  <c r="AS9" i="86"/>
  <c r="AQ9" i="86"/>
  <c r="AO9" i="86"/>
  <c r="AM9" i="86"/>
  <c r="AK9" i="86"/>
  <c r="S9" i="86"/>
  <c r="R9" i="86"/>
  <c r="I9" i="86"/>
  <c r="J9" i="86" s="1"/>
  <c r="G9" i="86"/>
  <c r="E9" i="86"/>
  <c r="C9" i="86"/>
  <c r="BB8" i="86"/>
  <c r="AZ8" i="86"/>
  <c r="AX8" i="86"/>
  <c r="AV8" i="86"/>
  <c r="AS8" i="86"/>
  <c r="AQ8" i="86"/>
  <c r="AO8" i="86"/>
  <c r="AM8" i="86"/>
  <c r="AK8" i="86"/>
  <c r="AF8" i="86"/>
  <c r="AE15" i="86" s="1"/>
  <c r="AD8" i="86"/>
  <c r="AC15" i="86" s="1"/>
  <c r="AB8" i="86"/>
  <c r="AA15" i="86" s="1"/>
  <c r="Z8" i="86"/>
  <c r="Y15" i="86" s="1"/>
  <c r="X8" i="86"/>
  <c r="W15" i="86" s="1"/>
  <c r="S8" i="86"/>
  <c r="R8" i="86"/>
  <c r="I8" i="86"/>
  <c r="J8" i="86" s="1"/>
  <c r="G8" i="86"/>
  <c r="E8" i="86"/>
  <c r="C8" i="86"/>
  <c r="BB7" i="86"/>
  <c r="AZ7" i="86"/>
  <c r="AX7" i="86"/>
  <c r="AV7" i="86"/>
  <c r="AS7" i="86"/>
  <c r="AQ7" i="86"/>
  <c r="AO7" i="86"/>
  <c r="AM7" i="86"/>
  <c r="AK7" i="86"/>
  <c r="AF7" i="86"/>
  <c r="AD7" i="86"/>
  <c r="AB7" i="86"/>
  <c r="Z7" i="86"/>
  <c r="X7" i="86"/>
  <c r="S7" i="86"/>
  <c r="R7" i="86"/>
  <c r="I7" i="86"/>
  <c r="J7" i="86" s="1"/>
  <c r="G7" i="86"/>
  <c r="E7" i="86"/>
  <c r="C7" i="86"/>
  <c r="AF33" i="84"/>
  <c r="AD33" i="84"/>
  <c r="AB33" i="84"/>
  <c r="Z33" i="84"/>
  <c r="X33" i="84"/>
  <c r="AF32" i="84"/>
  <c r="AD32" i="84"/>
  <c r="AB32" i="84"/>
  <c r="Z32" i="84"/>
  <c r="X32" i="84"/>
  <c r="A30" i="84"/>
  <c r="AY27" i="84"/>
  <c r="AW27" i="84"/>
  <c r="AP25" i="84"/>
  <c r="AQ23" i="84"/>
  <c r="AM23" i="84"/>
  <c r="AM27" i="84" s="1"/>
  <c r="AS22" i="84"/>
  <c r="AS23" i="84" s="1"/>
  <c r="AS27" i="84" s="1"/>
  <c r="AR22" i="84"/>
  <c r="AP22" i="84"/>
  <c r="AN22" i="84"/>
  <c r="AO22" i="84" s="1"/>
  <c r="AL22" i="84"/>
  <c r="AM22" i="84" s="1"/>
  <c r="AL25" i="84" s="1"/>
  <c r="AJ22" i="84"/>
  <c r="AK22" i="84" s="1"/>
  <c r="AK23" i="84" s="1"/>
  <c r="AK27" i="84" s="1"/>
  <c r="F22" i="84"/>
  <c r="F25" i="84" s="1"/>
  <c r="D22" i="84"/>
  <c r="I22" i="84" s="1"/>
  <c r="J22" i="84" s="1"/>
  <c r="B22" i="84"/>
  <c r="B25" i="84" s="1"/>
  <c r="AS21" i="84"/>
  <c r="AQ21" i="84"/>
  <c r="AO21" i="84"/>
  <c r="AM21" i="84"/>
  <c r="AK21" i="84"/>
  <c r="I21" i="84"/>
  <c r="J21" i="84" s="1"/>
  <c r="G21" i="84"/>
  <c r="E21" i="84"/>
  <c r="C21" i="84"/>
  <c r="AS20" i="84"/>
  <c r="AQ20" i="84"/>
  <c r="AO20" i="84"/>
  <c r="AM20" i="84"/>
  <c r="AK20" i="84"/>
  <c r="J20" i="84"/>
  <c r="I20" i="84"/>
  <c r="G20" i="84"/>
  <c r="E20" i="84"/>
  <c r="C20" i="84"/>
  <c r="AS19" i="84"/>
  <c r="AQ19" i="84"/>
  <c r="AO19" i="84"/>
  <c r="AM19" i="84"/>
  <c r="AK19" i="84"/>
  <c r="AF19" i="84"/>
  <c r="AD19" i="84"/>
  <c r="AB19" i="84"/>
  <c r="Z19" i="84"/>
  <c r="X19" i="84"/>
  <c r="I19" i="84"/>
  <c r="J19" i="84" s="1"/>
  <c r="G19" i="84"/>
  <c r="E19" i="84"/>
  <c r="C19" i="84"/>
  <c r="AS18" i="84"/>
  <c r="AQ18" i="84"/>
  <c r="AO18" i="84"/>
  <c r="AM18" i="84"/>
  <c r="AK18" i="84"/>
  <c r="AF18" i="84"/>
  <c r="AD18" i="84"/>
  <c r="AB18" i="84"/>
  <c r="Z18" i="84"/>
  <c r="X18" i="84"/>
  <c r="I18" i="84"/>
  <c r="J18" i="84" s="1"/>
  <c r="G18" i="84"/>
  <c r="E18" i="84"/>
  <c r="C18" i="84"/>
  <c r="AR11" i="84"/>
  <c r="AS11" i="84" s="1"/>
  <c r="AP11" i="84"/>
  <c r="AQ11" i="84" s="1"/>
  <c r="AP15" i="84" s="1"/>
  <c r="AN11" i="84"/>
  <c r="AO11" i="84" s="1"/>
  <c r="AL11" i="84"/>
  <c r="AM11" i="84" s="1"/>
  <c r="AJ11" i="84"/>
  <c r="AK11" i="84" s="1"/>
  <c r="Q11" i="84"/>
  <c r="Q12" i="84" s="1"/>
  <c r="Q14" i="84" s="1"/>
  <c r="P11" i="84"/>
  <c r="P12" i="84" s="1"/>
  <c r="P14" i="84" s="1"/>
  <c r="O11" i="84"/>
  <c r="O12" i="84" s="1"/>
  <c r="O14" i="84" s="1"/>
  <c r="N11" i="84"/>
  <c r="N12" i="84" s="1"/>
  <c r="N14" i="84" s="1"/>
  <c r="M11" i="84"/>
  <c r="M12" i="84" s="1"/>
  <c r="M14" i="84" s="1"/>
  <c r="L11" i="84"/>
  <c r="F11" i="84"/>
  <c r="D11" i="84"/>
  <c r="E11" i="84" s="1"/>
  <c r="B11" i="84"/>
  <c r="AS10" i="84"/>
  <c r="AQ10" i="84"/>
  <c r="AO10" i="84"/>
  <c r="AM10" i="84"/>
  <c r="AK10" i="84"/>
  <c r="S10" i="84"/>
  <c r="R10" i="84"/>
  <c r="I10" i="84"/>
  <c r="J10" i="84" s="1"/>
  <c r="G10" i="84"/>
  <c r="E10" i="84"/>
  <c r="C10" i="84"/>
  <c r="AS9" i="84"/>
  <c r="AQ9" i="84"/>
  <c r="AO9" i="84"/>
  <c r="AM9" i="84"/>
  <c r="AK9" i="84"/>
  <c r="S9" i="84"/>
  <c r="R9" i="84"/>
  <c r="I9" i="84"/>
  <c r="J9" i="84" s="1"/>
  <c r="G9" i="84"/>
  <c r="E9" i="84"/>
  <c r="C9" i="84"/>
  <c r="BB8" i="84"/>
  <c r="AZ8" i="84"/>
  <c r="AX8" i="84"/>
  <c r="AV8" i="84"/>
  <c r="AS8" i="84"/>
  <c r="AQ8" i="84"/>
  <c r="AO8" i="84"/>
  <c r="AM8" i="84"/>
  <c r="AK8" i="84"/>
  <c r="AF8" i="84"/>
  <c r="AE15" i="84" s="1"/>
  <c r="AD8" i="84"/>
  <c r="AC15" i="84" s="1"/>
  <c r="AB8" i="84"/>
  <c r="AA15" i="84" s="1"/>
  <c r="Z8" i="84"/>
  <c r="Y15" i="84" s="1"/>
  <c r="X8" i="84"/>
  <c r="W15" i="84" s="1"/>
  <c r="S8" i="84"/>
  <c r="R8" i="84"/>
  <c r="I8" i="84"/>
  <c r="J8" i="84" s="1"/>
  <c r="G8" i="84"/>
  <c r="E8" i="84"/>
  <c r="C8" i="84"/>
  <c r="BB7" i="84"/>
  <c r="AZ7" i="84"/>
  <c r="AX7" i="84"/>
  <c r="AV7" i="84"/>
  <c r="AS7" i="84"/>
  <c r="AQ7" i="84"/>
  <c r="AO7" i="84"/>
  <c r="AM7" i="84"/>
  <c r="AK7" i="84"/>
  <c r="AF7" i="84"/>
  <c r="AD7" i="84"/>
  <c r="AB7" i="84"/>
  <c r="Z7" i="84"/>
  <c r="X7" i="84"/>
  <c r="S7" i="84"/>
  <c r="R7" i="84"/>
  <c r="AB43" i="84" s="1"/>
  <c r="I7" i="84"/>
  <c r="J7" i="84" s="1"/>
  <c r="G7" i="84"/>
  <c r="E7" i="84"/>
  <c r="C7" i="84"/>
  <c r="A30" i="77"/>
  <c r="AR22" i="77"/>
  <c r="AS22" i="77" s="1"/>
  <c r="AP22" i="77"/>
  <c r="AQ22" i="77" s="1"/>
  <c r="AN22" i="77"/>
  <c r="AO22" i="77" s="1"/>
  <c r="AO23" i="77" s="1"/>
  <c r="AL22" i="77"/>
  <c r="AM22" i="77" s="1"/>
  <c r="AM23" i="77" s="1"/>
  <c r="AJ22" i="77"/>
  <c r="AK22" i="77" s="1"/>
  <c r="F22" i="77"/>
  <c r="D22" i="77"/>
  <c r="I22" i="77" s="1"/>
  <c r="J22" i="77" s="1"/>
  <c r="B22" i="77"/>
  <c r="AS21" i="77"/>
  <c r="AQ21" i="77"/>
  <c r="AO21" i="77"/>
  <c r="AM21" i="77"/>
  <c r="AK21" i="77"/>
  <c r="I21" i="77"/>
  <c r="J21" i="77" s="1"/>
  <c r="G21" i="77"/>
  <c r="E21" i="77"/>
  <c r="C21" i="77"/>
  <c r="AS20" i="77"/>
  <c r="AQ20" i="77"/>
  <c r="AO20" i="77"/>
  <c r="AM20" i="77"/>
  <c r="AK20" i="77"/>
  <c r="I20" i="77"/>
  <c r="J20" i="77" s="1"/>
  <c r="G20" i="77"/>
  <c r="E20" i="77"/>
  <c r="C20" i="77"/>
  <c r="AF19" i="77"/>
  <c r="AD19" i="77"/>
  <c r="AB19" i="77"/>
  <c r="Z19" i="77"/>
  <c r="X19" i="77"/>
  <c r="I19" i="77"/>
  <c r="J19" i="77" s="1"/>
  <c r="G19" i="77"/>
  <c r="E19" i="77"/>
  <c r="C19" i="77"/>
  <c r="AF18" i="77"/>
  <c r="AD18" i="77"/>
  <c r="AB18" i="77"/>
  <c r="Z18" i="77"/>
  <c r="X18" i="77"/>
  <c r="I18" i="77"/>
  <c r="J18" i="77" s="1"/>
  <c r="G18" i="77"/>
  <c r="E18" i="77"/>
  <c r="C18" i="77"/>
  <c r="AA15" i="77"/>
  <c r="W15" i="77"/>
  <c r="AR11" i="77"/>
  <c r="AS11" i="77" s="1"/>
  <c r="AP11" i="77"/>
  <c r="AQ11" i="77" s="1"/>
  <c r="AP15" i="77" s="1"/>
  <c r="AN11" i="77"/>
  <c r="AO11" i="77" s="1"/>
  <c r="AL11" i="77"/>
  <c r="AM11" i="77" s="1"/>
  <c r="AL15" i="77" s="1"/>
  <c r="AJ11" i="77"/>
  <c r="AK11" i="77" s="1"/>
  <c r="Q11" i="77"/>
  <c r="Q12" i="77" s="1"/>
  <c r="Q14" i="77" s="1"/>
  <c r="P11" i="77"/>
  <c r="P12" i="77" s="1"/>
  <c r="P14" i="77" s="1"/>
  <c r="O11" i="77"/>
  <c r="O12" i="77" s="1"/>
  <c r="O14" i="77" s="1"/>
  <c r="N11" i="77"/>
  <c r="N12" i="77" s="1"/>
  <c r="N14" i="77" s="1"/>
  <c r="M11" i="77"/>
  <c r="M12" i="77" s="1"/>
  <c r="M14" i="77" s="1"/>
  <c r="L11" i="77"/>
  <c r="F11" i="77"/>
  <c r="D11" i="77"/>
  <c r="B11" i="77"/>
  <c r="AS10" i="77"/>
  <c r="AQ10" i="77"/>
  <c r="AO10" i="77"/>
  <c r="AM10" i="77"/>
  <c r="AK10" i="77"/>
  <c r="S10" i="77"/>
  <c r="R10" i="77"/>
  <c r="I10" i="77"/>
  <c r="J10" i="77" s="1"/>
  <c r="G10" i="77"/>
  <c r="E10" i="77"/>
  <c r="C10" i="77"/>
  <c r="AS9" i="77"/>
  <c r="AQ9" i="77"/>
  <c r="AO9" i="77"/>
  <c r="AM9" i="77"/>
  <c r="AK9" i="77"/>
  <c r="S9" i="77"/>
  <c r="R9" i="77"/>
  <c r="I9" i="77"/>
  <c r="J9" i="77" s="1"/>
  <c r="G9" i="77"/>
  <c r="E9" i="77"/>
  <c r="C9" i="77"/>
  <c r="BB8" i="77"/>
  <c r="AZ8" i="77"/>
  <c r="AX8" i="77"/>
  <c r="AV8" i="77"/>
  <c r="AF8" i="77"/>
  <c r="AE15" i="77" s="1"/>
  <c r="AD8" i="77"/>
  <c r="AC15" i="77" s="1"/>
  <c r="AB8" i="77"/>
  <c r="Z8" i="77"/>
  <c r="X8" i="77"/>
  <c r="S8" i="77"/>
  <c r="R8" i="77"/>
  <c r="I8" i="77"/>
  <c r="J8" i="77" s="1"/>
  <c r="G8" i="77"/>
  <c r="E8" i="77"/>
  <c r="C8" i="77"/>
  <c r="BB7" i="77"/>
  <c r="AZ7" i="77"/>
  <c r="AX7" i="77"/>
  <c r="AV7" i="77"/>
  <c r="AF7" i="77"/>
  <c r="AD7" i="77"/>
  <c r="AB7" i="77"/>
  <c r="Z7" i="77"/>
  <c r="X7" i="77"/>
  <c r="S7" i="77"/>
  <c r="R7" i="77"/>
  <c r="I7" i="77"/>
  <c r="J7" i="77" s="1"/>
  <c r="G7" i="77"/>
  <c r="E7" i="77"/>
  <c r="C7" i="77"/>
  <c r="A30" i="72"/>
  <c r="AK23" i="72"/>
  <c r="AR22" i="72"/>
  <c r="AS22" i="72" s="1"/>
  <c r="AR25" i="72" s="1"/>
  <c r="AP22" i="72"/>
  <c r="AQ22" i="72" s="1"/>
  <c r="AQ23" i="72" s="1"/>
  <c r="AN22" i="72"/>
  <c r="AO22" i="72" s="1"/>
  <c r="AN25" i="72" s="1"/>
  <c r="AL22" i="72"/>
  <c r="AM22" i="72" s="1"/>
  <c r="AM23" i="72" s="1"/>
  <c r="AJ22" i="72"/>
  <c r="AK22" i="72" s="1"/>
  <c r="AJ25" i="72" s="1"/>
  <c r="F22" i="72"/>
  <c r="F25" i="72" s="1"/>
  <c r="D22" i="72"/>
  <c r="B22" i="72"/>
  <c r="AS21" i="72"/>
  <c r="AQ21" i="72"/>
  <c r="AO21" i="72"/>
  <c r="AM21" i="72"/>
  <c r="AK21" i="72"/>
  <c r="I21" i="72"/>
  <c r="J21" i="72" s="1"/>
  <c r="G21" i="72"/>
  <c r="E21" i="72"/>
  <c r="C21" i="72"/>
  <c r="AS20" i="72"/>
  <c r="AQ20" i="72"/>
  <c r="AO20" i="72"/>
  <c r="AM20" i="72"/>
  <c r="AK20" i="72"/>
  <c r="I20" i="72"/>
  <c r="J20" i="72" s="1"/>
  <c r="G20" i="72"/>
  <c r="E20" i="72"/>
  <c r="C20" i="72"/>
  <c r="AF19" i="72"/>
  <c r="AD19" i="72"/>
  <c r="AB19" i="72"/>
  <c r="Z19" i="72"/>
  <c r="X19" i="72"/>
  <c r="I19" i="72"/>
  <c r="J19" i="72" s="1"/>
  <c r="G19" i="72"/>
  <c r="E19" i="72"/>
  <c r="C19" i="72"/>
  <c r="AF18" i="72"/>
  <c r="AD18" i="72"/>
  <c r="AB18" i="72"/>
  <c r="Z18" i="72"/>
  <c r="X18" i="72"/>
  <c r="I18" i="72"/>
  <c r="J18" i="72" s="1"/>
  <c r="G18" i="72"/>
  <c r="E18" i="72"/>
  <c r="C18" i="72"/>
  <c r="D14" i="72"/>
  <c r="B14" i="72"/>
  <c r="AR11" i="72"/>
  <c r="AS11" i="72" s="1"/>
  <c r="AR15" i="72" s="1"/>
  <c r="AP11" i="72"/>
  <c r="AQ11" i="72" s="1"/>
  <c r="AP15" i="72" s="1"/>
  <c r="AN11" i="72"/>
  <c r="AO11" i="72" s="1"/>
  <c r="AN14" i="72" s="1"/>
  <c r="AL11" i="72"/>
  <c r="AM11" i="72" s="1"/>
  <c r="AL14" i="72" s="1"/>
  <c r="AJ11" i="72"/>
  <c r="AK11" i="72" s="1"/>
  <c r="AJ15" i="72" s="1"/>
  <c r="Q11" i="72"/>
  <c r="Q12" i="72" s="1"/>
  <c r="Q14" i="72" s="1"/>
  <c r="P11" i="72"/>
  <c r="P12" i="72" s="1"/>
  <c r="P14" i="72" s="1"/>
  <c r="O11" i="72"/>
  <c r="S11" i="72" s="1"/>
  <c r="N11" i="72"/>
  <c r="N12" i="72" s="1"/>
  <c r="N14" i="72" s="1"/>
  <c r="M11" i="72"/>
  <c r="M12" i="72" s="1"/>
  <c r="M14" i="72" s="1"/>
  <c r="L11" i="72"/>
  <c r="L12" i="72" s="1"/>
  <c r="L14" i="72" s="1"/>
  <c r="F11" i="72"/>
  <c r="G11" i="72" s="1"/>
  <c r="D11" i="72"/>
  <c r="B11" i="72"/>
  <c r="I11" i="72" s="1"/>
  <c r="J11" i="72" s="1"/>
  <c r="AS10" i="72"/>
  <c r="AQ10" i="72"/>
  <c r="AO10" i="72"/>
  <c r="AM10" i="72"/>
  <c r="AK10" i="72"/>
  <c r="S10" i="72"/>
  <c r="R10" i="72"/>
  <c r="I10" i="72"/>
  <c r="J10" i="72" s="1"/>
  <c r="G10" i="72"/>
  <c r="E10" i="72"/>
  <c r="C10" i="72"/>
  <c r="AS9" i="72"/>
  <c r="AQ9" i="72"/>
  <c r="AO9" i="72"/>
  <c r="AM9" i="72"/>
  <c r="AK9" i="72"/>
  <c r="S9" i="72"/>
  <c r="R9" i="72"/>
  <c r="I9" i="72"/>
  <c r="J9" i="72" s="1"/>
  <c r="G9" i="72"/>
  <c r="E9" i="72"/>
  <c r="C9" i="72"/>
  <c r="BB8" i="72"/>
  <c r="AZ8" i="72"/>
  <c r="AX8" i="72"/>
  <c r="AV8" i="72"/>
  <c r="AF8" i="72"/>
  <c r="AE15" i="72" s="1"/>
  <c r="AD8" i="72"/>
  <c r="AC15" i="72" s="1"/>
  <c r="AB8" i="72"/>
  <c r="AA15" i="72" s="1"/>
  <c r="Z8" i="72"/>
  <c r="Y15" i="72" s="1"/>
  <c r="X8" i="72"/>
  <c r="W15" i="72" s="1"/>
  <c r="S8" i="72"/>
  <c r="R8" i="72"/>
  <c r="I8" i="72"/>
  <c r="J8" i="72" s="1"/>
  <c r="G8" i="72"/>
  <c r="E8" i="72"/>
  <c r="C8" i="72"/>
  <c r="BB7" i="72"/>
  <c r="AZ7" i="72"/>
  <c r="AX7" i="72"/>
  <c r="AV7" i="72"/>
  <c r="AF7" i="72"/>
  <c r="AD7" i="72"/>
  <c r="AB7" i="72"/>
  <c r="Z7" i="72"/>
  <c r="X7" i="72"/>
  <c r="S7" i="72"/>
  <c r="R7" i="72"/>
  <c r="I7" i="72"/>
  <c r="J7" i="72" s="1"/>
  <c r="G7" i="72"/>
  <c r="E7" i="72"/>
  <c r="C7" i="72"/>
  <c r="A30" i="62"/>
  <c r="AP25" i="62"/>
  <c r="AR22" i="62"/>
  <c r="AS22" i="62" s="1"/>
  <c r="AP22" i="62"/>
  <c r="AQ22" i="62" s="1"/>
  <c r="AQ23" i="62" s="1"/>
  <c r="AN22" i="62"/>
  <c r="AO22" i="62" s="1"/>
  <c r="AO23" i="62" s="1"/>
  <c r="AL22" i="62"/>
  <c r="AM22" i="62" s="1"/>
  <c r="AJ22" i="62"/>
  <c r="AK22" i="62" s="1"/>
  <c r="F22" i="62"/>
  <c r="I22" i="62" s="1"/>
  <c r="J22" i="62" s="1"/>
  <c r="D22" i="62"/>
  <c r="B22" i="62"/>
  <c r="B25" i="62" s="1"/>
  <c r="AS21" i="62"/>
  <c r="AQ21" i="62"/>
  <c r="AO21" i="62"/>
  <c r="AM21" i="62"/>
  <c r="AK21" i="62"/>
  <c r="J21" i="62"/>
  <c r="I21" i="62"/>
  <c r="AS20" i="62"/>
  <c r="AQ20" i="62"/>
  <c r="AO20" i="62"/>
  <c r="AM20" i="62"/>
  <c r="AK20" i="62"/>
  <c r="J20" i="62"/>
  <c r="I20" i="62"/>
  <c r="I19" i="62"/>
  <c r="J19" i="62" s="1"/>
  <c r="J18" i="62"/>
  <c r="I18" i="62"/>
  <c r="F14" i="62"/>
  <c r="AR11" i="62"/>
  <c r="AS11" i="62" s="1"/>
  <c r="AP11" i="62"/>
  <c r="AQ11" i="62" s="1"/>
  <c r="AP15" i="62" s="1"/>
  <c r="AO11" i="62"/>
  <c r="AN14" i="62" s="1"/>
  <c r="AN11" i="62"/>
  <c r="AL11" i="62"/>
  <c r="AM11" i="62" s="1"/>
  <c r="AL15" i="62" s="1"/>
  <c r="AJ11" i="62"/>
  <c r="AK11" i="62" s="1"/>
  <c r="Q11" i="62"/>
  <c r="Q12" i="62" s="1"/>
  <c r="Q14" i="62" s="1"/>
  <c r="P11" i="62"/>
  <c r="P12" i="62" s="1"/>
  <c r="P14" i="62" s="1"/>
  <c r="O11" i="62"/>
  <c r="O12" i="62" s="1"/>
  <c r="O14" i="62" s="1"/>
  <c r="N11" i="62"/>
  <c r="N12" i="62" s="1"/>
  <c r="N14" i="62" s="1"/>
  <c r="M11" i="62"/>
  <c r="M12" i="62" s="1"/>
  <c r="M14" i="62" s="1"/>
  <c r="L11" i="62"/>
  <c r="L12" i="62" s="1"/>
  <c r="L14" i="62" s="1"/>
  <c r="F11" i="62"/>
  <c r="D11" i="62"/>
  <c r="B11" i="62"/>
  <c r="B14" i="62" s="1"/>
  <c r="AS10" i="62"/>
  <c r="AQ10" i="62"/>
  <c r="AO10" i="62"/>
  <c r="AM10" i="62"/>
  <c r="AK10" i="62"/>
  <c r="S10" i="62"/>
  <c r="R10" i="62"/>
  <c r="G21" i="62" s="1"/>
  <c r="I10" i="62"/>
  <c r="J10" i="62" s="1"/>
  <c r="G10" i="62"/>
  <c r="E10" i="62"/>
  <c r="AS9" i="62"/>
  <c r="AQ9" i="62"/>
  <c r="AO9" i="62"/>
  <c r="AM9" i="62"/>
  <c r="AK9" i="62"/>
  <c r="S9" i="62"/>
  <c r="R9" i="62"/>
  <c r="C20" i="62" s="1"/>
  <c r="I9" i="62"/>
  <c r="J9" i="62" s="1"/>
  <c r="S8" i="62"/>
  <c r="R8" i="62"/>
  <c r="Z19" i="62" s="1"/>
  <c r="I8" i="62"/>
  <c r="J8" i="62" s="1"/>
  <c r="S7" i="62"/>
  <c r="R7" i="62"/>
  <c r="AD18" i="62" s="1"/>
  <c r="I7" i="62"/>
  <c r="J7" i="62" s="1"/>
  <c r="A30" i="43"/>
  <c r="AT23" i="43"/>
  <c r="AL23" i="43"/>
  <c r="AS22" i="43"/>
  <c r="AT22" i="43" s="1"/>
  <c r="AS25" i="43" s="1"/>
  <c r="AQ22" i="43"/>
  <c r="AR22" i="43" s="1"/>
  <c r="AR23" i="43" s="1"/>
  <c r="AO22" i="43"/>
  <c r="AP22" i="43" s="1"/>
  <c r="AO25" i="43" s="1"/>
  <c r="AM22" i="43"/>
  <c r="AN22" i="43" s="1"/>
  <c r="AN23" i="43" s="1"/>
  <c r="AK22" i="43"/>
  <c r="AL22" i="43" s="1"/>
  <c r="AK25" i="43" s="1"/>
  <c r="F22" i="43"/>
  <c r="D22" i="43"/>
  <c r="B22" i="43"/>
  <c r="AT21" i="43"/>
  <c r="AR21" i="43"/>
  <c r="AP21" i="43"/>
  <c r="AN21" i="43"/>
  <c r="AL21" i="43"/>
  <c r="I21" i="43"/>
  <c r="J21" i="43" s="1"/>
  <c r="G21" i="43"/>
  <c r="E21" i="43"/>
  <c r="C21" i="43"/>
  <c r="AT20" i="43"/>
  <c r="AR20" i="43"/>
  <c r="AP20" i="43"/>
  <c r="AN20" i="43"/>
  <c r="AL20" i="43"/>
  <c r="J20" i="43"/>
  <c r="I20" i="43"/>
  <c r="G20" i="43"/>
  <c r="E20" i="43"/>
  <c r="C20" i="43"/>
  <c r="AG19" i="43"/>
  <c r="AE19" i="43"/>
  <c r="AC19" i="43"/>
  <c r="AA19" i="43"/>
  <c r="Y19" i="43"/>
  <c r="J19" i="43"/>
  <c r="I19" i="43"/>
  <c r="G19" i="43"/>
  <c r="E19" i="43"/>
  <c r="C19" i="43"/>
  <c r="AG18" i="43"/>
  <c r="AE18" i="43"/>
  <c r="AC18" i="43"/>
  <c r="AA18" i="43"/>
  <c r="Y18" i="43"/>
  <c r="I18" i="43"/>
  <c r="J18" i="43" s="1"/>
  <c r="G18" i="43"/>
  <c r="E18" i="43"/>
  <c r="C18" i="43"/>
  <c r="F14" i="43"/>
  <c r="B14" i="43"/>
  <c r="AS11" i="43"/>
  <c r="AT11" i="43" s="1"/>
  <c r="AT12" i="43" s="1"/>
  <c r="AQ11" i="43"/>
  <c r="AR11" i="43" s="1"/>
  <c r="AR12" i="43" s="1"/>
  <c r="AO11" i="43"/>
  <c r="AP11" i="43" s="1"/>
  <c r="AM11" i="43"/>
  <c r="AN11" i="43" s="1"/>
  <c r="AN12" i="43" s="1"/>
  <c r="AK11" i="43"/>
  <c r="AL11" i="43" s="1"/>
  <c r="R11" i="43"/>
  <c r="R12" i="43" s="1"/>
  <c r="R14" i="43" s="1"/>
  <c r="Q11" i="43"/>
  <c r="Q12" i="43" s="1"/>
  <c r="Q14" i="43" s="1"/>
  <c r="P11" i="43"/>
  <c r="P12" i="43" s="1"/>
  <c r="P14" i="43" s="1"/>
  <c r="N11" i="43"/>
  <c r="N12" i="43" s="1"/>
  <c r="N14" i="43" s="1"/>
  <c r="M11" i="43"/>
  <c r="M12" i="43" s="1"/>
  <c r="M14" i="43" s="1"/>
  <c r="L11" i="43"/>
  <c r="L12" i="43" s="1"/>
  <c r="L14" i="43" s="1"/>
  <c r="F11" i="43"/>
  <c r="G11" i="43" s="1"/>
  <c r="D11" i="43"/>
  <c r="D14" i="43" s="1"/>
  <c r="B11" i="43"/>
  <c r="C11" i="43" s="1"/>
  <c r="AT10" i="43"/>
  <c r="AR10" i="43"/>
  <c r="AP10" i="43"/>
  <c r="AN10" i="43"/>
  <c r="AL10" i="43"/>
  <c r="S10" i="43"/>
  <c r="O10" i="43"/>
  <c r="T10" i="43" s="1"/>
  <c r="J10" i="43"/>
  <c r="I10" i="43"/>
  <c r="G10" i="43"/>
  <c r="E10" i="43"/>
  <c r="C10" i="43"/>
  <c r="AT9" i="43"/>
  <c r="AR9" i="43"/>
  <c r="AP9" i="43"/>
  <c r="AN9" i="43"/>
  <c r="AL9" i="43"/>
  <c r="T9" i="43"/>
  <c r="S9" i="43"/>
  <c r="O9" i="43"/>
  <c r="I9" i="43"/>
  <c r="J9" i="43" s="1"/>
  <c r="G9" i="43"/>
  <c r="E9" i="43"/>
  <c r="C9" i="43"/>
  <c r="BC8" i="43"/>
  <c r="BA8" i="43"/>
  <c r="AY8" i="43"/>
  <c r="AW8" i="43"/>
  <c r="AG8" i="43"/>
  <c r="AF15" i="43" s="1"/>
  <c r="AE8" i="43"/>
  <c r="AD15" i="43" s="1"/>
  <c r="AC8" i="43"/>
  <c r="AB15" i="43" s="1"/>
  <c r="AA8" i="43"/>
  <c r="Z15" i="43" s="1"/>
  <c r="Y8" i="43"/>
  <c r="X15" i="43" s="1"/>
  <c r="S8" i="43"/>
  <c r="O8" i="43"/>
  <c r="T8" i="43" s="1"/>
  <c r="I8" i="43"/>
  <c r="J8" i="43" s="1"/>
  <c r="G8" i="43"/>
  <c r="E8" i="43"/>
  <c r="C8" i="43"/>
  <c r="BC7" i="43"/>
  <c r="BA7" i="43"/>
  <c r="AY7" i="43"/>
  <c r="AW7" i="43"/>
  <c r="AG7" i="43"/>
  <c r="AE7" i="43"/>
  <c r="AC7" i="43"/>
  <c r="AA7" i="43"/>
  <c r="Y7" i="43"/>
  <c r="T7" i="43"/>
  <c r="S7" i="43"/>
  <c r="O7" i="43"/>
  <c r="I7" i="43"/>
  <c r="J7" i="43" s="1"/>
  <c r="G7" i="43"/>
  <c r="E7" i="43"/>
  <c r="C7" i="43"/>
  <c r="A30" i="36"/>
  <c r="AS22" i="36"/>
  <c r="AT22" i="36" s="1"/>
  <c r="AS25" i="36" s="1"/>
  <c r="AQ22" i="36"/>
  <c r="AR22" i="36" s="1"/>
  <c r="AR23" i="36" s="1"/>
  <c r="AO22" i="36"/>
  <c r="AP22" i="36" s="1"/>
  <c r="AO25" i="36" s="1"/>
  <c r="AM22" i="36"/>
  <c r="AN22" i="36" s="1"/>
  <c r="AN23" i="36" s="1"/>
  <c r="AK22" i="36"/>
  <c r="AL22" i="36" s="1"/>
  <c r="AK25" i="36" s="1"/>
  <c r="F22" i="36"/>
  <c r="F25" i="36" s="1"/>
  <c r="D22" i="36"/>
  <c r="B22" i="36"/>
  <c r="I22" i="36" s="1"/>
  <c r="J22" i="36" s="1"/>
  <c r="AT21" i="36"/>
  <c r="AR21" i="36"/>
  <c r="AP21" i="36"/>
  <c r="AN21" i="36"/>
  <c r="AL21" i="36"/>
  <c r="J21" i="36"/>
  <c r="I21" i="36"/>
  <c r="G21" i="36"/>
  <c r="E21" i="36"/>
  <c r="C21" i="36"/>
  <c r="AT20" i="36"/>
  <c r="AR20" i="36"/>
  <c r="AP20" i="36"/>
  <c r="AN20" i="36"/>
  <c r="AL20" i="36"/>
  <c r="J20" i="36"/>
  <c r="I20" i="36"/>
  <c r="G20" i="36"/>
  <c r="E20" i="36"/>
  <c r="C20" i="36"/>
  <c r="AG19" i="36"/>
  <c r="AE19" i="36"/>
  <c r="AC19" i="36"/>
  <c r="AA19" i="36"/>
  <c r="Y19" i="36"/>
  <c r="I19" i="36"/>
  <c r="J19" i="36" s="1"/>
  <c r="G19" i="36"/>
  <c r="E19" i="36"/>
  <c r="C19" i="36"/>
  <c r="AG18" i="36"/>
  <c r="AE18" i="36"/>
  <c r="AC18" i="36"/>
  <c r="AA18" i="36"/>
  <c r="Y18" i="36"/>
  <c r="J18" i="36"/>
  <c r="I18" i="36"/>
  <c r="G18" i="36"/>
  <c r="E18" i="36"/>
  <c r="C18" i="36"/>
  <c r="AF15" i="36"/>
  <c r="X15" i="36"/>
  <c r="L12" i="36"/>
  <c r="L14" i="36" s="1"/>
  <c r="AS11" i="36"/>
  <c r="AT11" i="36" s="1"/>
  <c r="AQ11" i="36"/>
  <c r="AR11" i="36" s="1"/>
  <c r="AR12" i="36" s="1"/>
  <c r="AO11" i="36"/>
  <c r="AP11" i="36" s="1"/>
  <c r="AM11" i="36"/>
  <c r="AN11" i="36" s="1"/>
  <c r="AN12" i="36" s="1"/>
  <c r="AK11" i="36"/>
  <c r="AL11" i="36" s="1"/>
  <c r="R11" i="36"/>
  <c r="R12" i="36" s="1"/>
  <c r="R14" i="36" s="1"/>
  <c r="Q11" i="36"/>
  <c r="Q12" i="36" s="1"/>
  <c r="Q14" i="36" s="1"/>
  <c r="P11" i="36"/>
  <c r="P12" i="36" s="1"/>
  <c r="P14" i="36" s="1"/>
  <c r="N11" i="36"/>
  <c r="N12" i="36" s="1"/>
  <c r="N14" i="36" s="1"/>
  <c r="M11" i="36"/>
  <c r="M12" i="36" s="1"/>
  <c r="M14" i="36" s="1"/>
  <c r="L11" i="36"/>
  <c r="F11" i="36"/>
  <c r="F14" i="36" s="1"/>
  <c r="D11" i="36"/>
  <c r="D14" i="36" s="1"/>
  <c r="B11" i="36"/>
  <c r="I11" i="36" s="1"/>
  <c r="J11" i="36" s="1"/>
  <c r="AT10" i="36"/>
  <c r="AR10" i="36"/>
  <c r="AP10" i="36"/>
  <c r="AN10" i="36"/>
  <c r="AL10" i="36"/>
  <c r="S10" i="36"/>
  <c r="O10" i="36"/>
  <c r="T10" i="36" s="1"/>
  <c r="I10" i="36"/>
  <c r="J10" i="36" s="1"/>
  <c r="G10" i="36"/>
  <c r="E10" i="36"/>
  <c r="C10" i="36"/>
  <c r="AT9" i="36"/>
  <c r="AR9" i="36"/>
  <c r="AP9" i="36"/>
  <c r="AN9" i="36"/>
  <c r="AL9" i="36"/>
  <c r="S9" i="36"/>
  <c r="O9" i="36"/>
  <c r="T9" i="36" s="1"/>
  <c r="I9" i="36"/>
  <c r="J9" i="36" s="1"/>
  <c r="G9" i="36"/>
  <c r="E9" i="36"/>
  <c r="C9" i="36"/>
  <c r="BC8" i="36"/>
  <c r="BA8" i="36"/>
  <c r="AY8" i="36"/>
  <c r="AW8" i="36"/>
  <c r="AG8" i="36"/>
  <c r="AE8" i="36"/>
  <c r="AD15" i="36" s="1"/>
  <c r="AC8" i="36"/>
  <c r="AB15" i="36" s="1"/>
  <c r="AA8" i="36"/>
  <c r="Z15" i="36" s="1"/>
  <c r="Y8" i="36"/>
  <c r="T8" i="36"/>
  <c r="S8" i="36"/>
  <c r="O8" i="36"/>
  <c r="J8" i="36"/>
  <c r="I8" i="36"/>
  <c r="G8" i="36"/>
  <c r="E8" i="36"/>
  <c r="C8" i="36"/>
  <c r="BC7" i="36"/>
  <c r="BA7" i="36"/>
  <c r="AY7" i="36"/>
  <c r="AW7" i="36"/>
  <c r="AG7" i="36"/>
  <c r="AE7" i="36"/>
  <c r="AC7" i="36"/>
  <c r="AA7" i="36"/>
  <c r="Y7" i="36"/>
  <c r="T7" i="36"/>
  <c r="S7" i="36"/>
  <c r="O7" i="36"/>
  <c r="I7" i="36"/>
  <c r="J7" i="36" s="1"/>
  <c r="G7" i="36"/>
  <c r="E7" i="36"/>
  <c r="C7" i="36"/>
  <c r="A30" i="33"/>
  <c r="AS22" i="33"/>
  <c r="AT22" i="33" s="1"/>
  <c r="AS25" i="33" s="1"/>
  <c r="AQ22" i="33"/>
  <c r="AR22" i="33" s="1"/>
  <c r="AR23" i="33" s="1"/>
  <c r="AO22" i="33"/>
  <c r="AP22" i="33" s="1"/>
  <c r="AO25" i="33" s="1"/>
  <c r="AM22" i="33"/>
  <c r="AN22" i="33" s="1"/>
  <c r="AN23" i="33" s="1"/>
  <c r="AK22" i="33"/>
  <c r="AL22" i="33" s="1"/>
  <c r="AK25" i="33" s="1"/>
  <c r="F22" i="33"/>
  <c r="G22" i="33" s="1"/>
  <c r="D22" i="33"/>
  <c r="B22" i="33"/>
  <c r="AT21" i="33"/>
  <c r="AR21" i="33"/>
  <c r="AP21" i="33"/>
  <c r="AN21" i="33"/>
  <c r="AL21" i="33"/>
  <c r="I21" i="33"/>
  <c r="J21" i="33" s="1"/>
  <c r="G21" i="33"/>
  <c r="E21" i="33"/>
  <c r="C21" i="33"/>
  <c r="AT20" i="33"/>
  <c r="AR20" i="33"/>
  <c r="AP20" i="33"/>
  <c r="AN20" i="33"/>
  <c r="AL20" i="33"/>
  <c r="J20" i="33"/>
  <c r="I20" i="33"/>
  <c r="G20" i="33"/>
  <c r="E20" i="33"/>
  <c r="C20" i="33"/>
  <c r="AG19" i="33"/>
  <c r="AE19" i="33"/>
  <c r="AC19" i="33"/>
  <c r="AA19" i="33"/>
  <c r="Y19" i="33"/>
  <c r="I19" i="33"/>
  <c r="J19" i="33" s="1"/>
  <c r="G19" i="33"/>
  <c r="E19" i="33"/>
  <c r="C19" i="33"/>
  <c r="AG18" i="33"/>
  <c r="AE18" i="33"/>
  <c r="AC18" i="33"/>
  <c r="AA18" i="33"/>
  <c r="Y18" i="33"/>
  <c r="I18" i="33"/>
  <c r="J18" i="33" s="1"/>
  <c r="G18" i="33"/>
  <c r="E18" i="33"/>
  <c r="C18" i="33"/>
  <c r="R12" i="33"/>
  <c r="R14" i="33" s="1"/>
  <c r="P12" i="33"/>
  <c r="P14" i="33" s="1"/>
  <c r="AS11" i="33"/>
  <c r="AT11" i="33" s="1"/>
  <c r="AT12" i="33" s="1"/>
  <c r="AQ11" i="33"/>
  <c r="AR11" i="33" s="1"/>
  <c r="AR12" i="33" s="1"/>
  <c r="AO11" i="33"/>
  <c r="AP11" i="33" s="1"/>
  <c r="AM11" i="33"/>
  <c r="AN11" i="33" s="1"/>
  <c r="AN12" i="33" s="1"/>
  <c r="AK11" i="33"/>
  <c r="AL11" i="33" s="1"/>
  <c r="AL12" i="33" s="1"/>
  <c r="S11" i="33"/>
  <c r="R11" i="33"/>
  <c r="Q11" i="33"/>
  <c r="Q12" i="33" s="1"/>
  <c r="Q14" i="33" s="1"/>
  <c r="P11" i="33"/>
  <c r="N11" i="33"/>
  <c r="N12" i="33" s="1"/>
  <c r="N14" i="33" s="1"/>
  <c r="M11" i="33"/>
  <c r="M12" i="33" s="1"/>
  <c r="M14" i="33" s="1"/>
  <c r="L11" i="33"/>
  <c r="L12" i="33" s="1"/>
  <c r="L14" i="33" s="1"/>
  <c r="F11" i="33"/>
  <c r="F14" i="33" s="1"/>
  <c r="D11" i="33"/>
  <c r="D14" i="33" s="1"/>
  <c r="B11" i="33"/>
  <c r="B14" i="33" s="1"/>
  <c r="BC10" i="33"/>
  <c r="BA10" i="33"/>
  <c r="AY10" i="33"/>
  <c r="AW10" i="33"/>
  <c r="AT10" i="33"/>
  <c r="AR10" i="33"/>
  <c r="AP10" i="33"/>
  <c r="AN10" i="33"/>
  <c r="AL10" i="33"/>
  <c r="S10" i="33"/>
  <c r="O10" i="33"/>
  <c r="T10" i="33" s="1"/>
  <c r="J10" i="33"/>
  <c r="I10" i="33"/>
  <c r="G10" i="33"/>
  <c r="E10" i="33"/>
  <c r="C10" i="33"/>
  <c r="BC9" i="33"/>
  <c r="BA9" i="33"/>
  <c r="AY9" i="33"/>
  <c r="AW9" i="33"/>
  <c r="AT9" i="33"/>
  <c r="AR9" i="33"/>
  <c r="AP9" i="33"/>
  <c r="AN9" i="33"/>
  <c r="AL9" i="33"/>
  <c r="S9" i="33"/>
  <c r="O9" i="33"/>
  <c r="T9" i="33" s="1"/>
  <c r="I9" i="33"/>
  <c r="J9" i="33" s="1"/>
  <c r="G9" i="33"/>
  <c r="E9" i="33"/>
  <c r="C9" i="33"/>
  <c r="BC8" i="33"/>
  <c r="BA8" i="33"/>
  <c r="AY8" i="33"/>
  <c r="AW8" i="33"/>
  <c r="AG8" i="33"/>
  <c r="AF15" i="33" s="1"/>
  <c r="AE8" i="33"/>
  <c r="AC8" i="33"/>
  <c r="AA8" i="33"/>
  <c r="Y8" i="33"/>
  <c r="X15" i="33" s="1"/>
  <c r="S8" i="33"/>
  <c r="O8" i="33"/>
  <c r="T8" i="33" s="1"/>
  <c r="I8" i="33"/>
  <c r="J8" i="33" s="1"/>
  <c r="G8" i="33"/>
  <c r="E8" i="33"/>
  <c r="C8" i="33"/>
  <c r="BC7" i="33"/>
  <c r="BA7" i="33"/>
  <c r="AY7" i="33"/>
  <c r="AW7" i="33"/>
  <c r="AG7" i="33"/>
  <c r="AE7" i="33"/>
  <c r="AC7" i="33"/>
  <c r="AA7" i="33"/>
  <c r="Y7" i="33"/>
  <c r="S7" i="33"/>
  <c r="O7" i="33"/>
  <c r="I7" i="33"/>
  <c r="J7" i="33" s="1"/>
  <c r="G7" i="33"/>
  <c r="E7" i="33"/>
  <c r="C7" i="33"/>
  <c r="A30" i="24"/>
  <c r="AS22" i="24"/>
  <c r="AT22" i="24" s="1"/>
  <c r="AS25" i="24" s="1"/>
  <c r="AQ22" i="24"/>
  <c r="AR22" i="24" s="1"/>
  <c r="AO22" i="24"/>
  <c r="AP22" i="24" s="1"/>
  <c r="AP23" i="24" s="1"/>
  <c r="AM22" i="24"/>
  <c r="AN22" i="24" s="1"/>
  <c r="AK22" i="24"/>
  <c r="AL22" i="24" s="1"/>
  <c r="AK25" i="24" s="1"/>
  <c r="F22" i="24"/>
  <c r="F25" i="24" s="1"/>
  <c r="D22" i="24"/>
  <c r="E22" i="24" s="1"/>
  <c r="B22" i="24"/>
  <c r="B25" i="24" s="1"/>
  <c r="AT21" i="24"/>
  <c r="AR21" i="24"/>
  <c r="AP21" i="24"/>
  <c r="AN21" i="24"/>
  <c r="AL21" i="24"/>
  <c r="I21" i="24"/>
  <c r="J21" i="24" s="1"/>
  <c r="G21" i="24"/>
  <c r="E21" i="24"/>
  <c r="C21" i="24"/>
  <c r="AT20" i="24"/>
  <c r="AR20" i="24"/>
  <c r="AP20" i="24"/>
  <c r="AN20" i="24"/>
  <c r="AL20" i="24"/>
  <c r="I20" i="24"/>
  <c r="J20" i="24" s="1"/>
  <c r="G20" i="24"/>
  <c r="E20" i="24"/>
  <c r="C20" i="24"/>
  <c r="AG19" i="24"/>
  <c r="AE19" i="24"/>
  <c r="AC19" i="24"/>
  <c r="AA19" i="24"/>
  <c r="Y19" i="24"/>
  <c r="I19" i="24"/>
  <c r="J19" i="24" s="1"/>
  <c r="G19" i="24"/>
  <c r="E19" i="24"/>
  <c r="C19" i="24"/>
  <c r="AG18" i="24"/>
  <c r="AE18" i="24"/>
  <c r="AC18" i="24"/>
  <c r="AA18" i="24"/>
  <c r="Y18" i="24"/>
  <c r="I18" i="24"/>
  <c r="J18" i="24" s="1"/>
  <c r="G18" i="24"/>
  <c r="E18" i="24"/>
  <c r="C18" i="24"/>
  <c r="D14" i="24"/>
  <c r="R12" i="24"/>
  <c r="R14" i="24" s="1"/>
  <c r="AS11" i="24"/>
  <c r="AT11" i="24" s="1"/>
  <c r="AQ11" i="24"/>
  <c r="AR11" i="24" s="1"/>
  <c r="AQ14" i="24" s="1"/>
  <c r="AO11" i="24"/>
  <c r="AP11" i="24" s="1"/>
  <c r="AN11" i="24"/>
  <c r="AM15" i="24" s="1"/>
  <c r="AM11" i="24"/>
  <c r="AK11" i="24"/>
  <c r="AL11" i="24" s="1"/>
  <c r="R11" i="24"/>
  <c r="S11" i="24" s="1"/>
  <c r="Q11" i="24"/>
  <c r="Q12" i="24" s="1"/>
  <c r="Q14" i="24" s="1"/>
  <c r="P11" i="24"/>
  <c r="P12" i="24" s="1"/>
  <c r="P14" i="24" s="1"/>
  <c r="N11" i="24"/>
  <c r="M11" i="24"/>
  <c r="M12" i="24" s="1"/>
  <c r="M14" i="24" s="1"/>
  <c r="L11" i="24"/>
  <c r="L12" i="24" s="1"/>
  <c r="L14" i="24" s="1"/>
  <c r="F11" i="24"/>
  <c r="F14" i="24" s="1"/>
  <c r="B11" i="24"/>
  <c r="I11" i="24" s="1"/>
  <c r="J11" i="24" s="1"/>
  <c r="AT10" i="24"/>
  <c r="AR10" i="24"/>
  <c r="AP10" i="24"/>
  <c r="AN10" i="24"/>
  <c r="AL10" i="24"/>
  <c r="S10" i="24"/>
  <c r="O10" i="24"/>
  <c r="T10" i="24" s="1"/>
  <c r="J10" i="24"/>
  <c r="I10" i="24"/>
  <c r="G10" i="24"/>
  <c r="E10" i="24"/>
  <c r="C10" i="24"/>
  <c r="AT9" i="24"/>
  <c r="AR9" i="24"/>
  <c r="AP9" i="24"/>
  <c r="AN9" i="24"/>
  <c r="AL9" i="24"/>
  <c r="S9" i="24"/>
  <c r="O9" i="24"/>
  <c r="T9" i="24" s="1"/>
  <c r="I9" i="24"/>
  <c r="J9" i="24" s="1"/>
  <c r="G9" i="24"/>
  <c r="E9" i="24"/>
  <c r="C9" i="24"/>
  <c r="AY8" i="24"/>
  <c r="AW8" i="24"/>
  <c r="AG8" i="24"/>
  <c r="AF15" i="24" s="1"/>
  <c r="AE8" i="24"/>
  <c r="AD15" i="24" s="1"/>
  <c r="AC8" i="24"/>
  <c r="AB15" i="24" s="1"/>
  <c r="AA8" i="24"/>
  <c r="Z15" i="24" s="1"/>
  <c r="Y8" i="24"/>
  <c r="X15" i="24" s="1"/>
  <c r="S8" i="24"/>
  <c r="O8" i="24"/>
  <c r="T8" i="24" s="1"/>
  <c r="I8" i="24"/>
  <c r="J8" i="24" s="1"/>
  <c r="G8" i="24"/>
  <c r="E8" i="24"/>
  <c r="C8" i="24"/>
  <c r="AY7" i="24"/>
  <c r="AW7" i="24"/>
  <c r="AG7" i="24"/>
  <c r="AC7" i="24"/>
  <c r="Y7" i="24"/>
  <c r="S7" i="24"/>
  <c r="S12" i="24" s="1"/>
  <c r="S14" i="24" s="1"/>
  <c r="O7" i="24"/>
  <c r="AE7" i="24" s="1"/>
  <c r="I7" i="24"/>
  <c r="J7" i="24" s="1"/>
  <c r="G7" i="24"/>
  <c r="E7" i="24"/>
  <c r="C7" i="24"/>
  <c r="A30" i="2"/>
  <c r="D25" i="2"/>
  <c r="AO22" i="2"/>
  <c r="AN25" i="2" s="1"/>
  <c r="AN22" i="2"/>
  <c r="AL22" i="2"/>
  <c r="AM22" i="2" s="1"/>
  <c r="AJ22" i="2"/>
  <c r="AK22" i="2" s="1"/>
  <c r="AK23" i="2" s="1"/>
  <c r="AH22" i="2"/>
  <c r="AI22" i="2" s="1"/>
  <c r="AF22" i="2"/>
  <c r="AG22" i="2" s="1"/>
  <c r="AF25" i="2" s="1"/>
  <c r="F22" i="2"/>
  <c r="F25" i="2" s="1"/>
  <c r="D22" i="2"/>
  <c r="B22" i="2"/>
  <c r="B25" i="2" s="1"/>
  <c r="AO21" i="2"/>
  <c r="AM21" i="2"/>
  <c r="AK21" i="2"/>
  <c r="AI21" i="2"/>
  <c r="AG21" i="2"/>
  <c r="I21" i="2"/>
  <c r="J21" i="2" s="1"/>
  <c r="G21" i="2"/>
  <c r="E21" i="2"/>
  <c r="C21" i="2"/>
  <c r="AO20" i="2"/>
  <c r="AM20" i="2"/>
  <c r="AK20" i="2"/>
  <c r="AI20" i="2"/>
  <c r="AG20" i="2"/>
  <c r="I20" i="2"/>
  <c r="J20" i="2" s="1"/>
  <c r="G20" i="2"/>
  <c r="E20" i="2"/>
  <c r="C20" i="2"/>
  <c r="AB19" i="2"/>
  <c r="Z19" i="2"/>
  <c r="X19" i="2"/>
  <c r="V19" i="2"/>
  <c r="T19" i="2"/>
  <c r="I19" i="2"/>
  <c r="J19" i="2" s="1"/>
  <c r="G19" i="2"/>
  <c r="E19" i="2"/>
  <c r="C19" i="2"/>
  <c r="AB18" i="2"/>
  <c r="Z18" i="2"/>
  <c r="X18" i="2"/>
  <c r="V18" i="2"/>
  <c r="T18" i="2"/>
  <c r="I18" i="2"/>
  <c r="J18" i="2" s="1"/>
  <c r="G18" i="2"/>
  <c r="E18" i="2"/>
  <c r="C18" i="2"/>
  <c r="Y15" i="2"/>
  <c r="AN11" i="2"/>
  <c r="AL11" i="2"/>
  <c r="AJ11" i="2"/>
  <c r="AH11" i="2"/>
  <c r="AG11" i="2"/>
  <c r="AG12" i="2" s="1"/>
  <c r="AF11" i="2"/>
  <c r="M11" i="2"/>
  <c r="N11" i="2" s="1"/>
  <c r="L11" i="2"/>
  <c r="O11" i="2" s="1"/>
  <c r="G11" i="2"/>
  <c r="F11" i="2"/>
  <c r="F14" i="2" s="1"/>
  <c r="D11" i="2"/>
  <c r="D14" i="2" s="1"/>
  <c r="B11" i="2"/>
  <c r="B14" i="2" s="1"/>
  <c r="AO10" i="2"/>
  <c r="AO11" i="2" s="1"/>
  <c r="AN15" i="2" s="1"/>
  <c r="AM10" i="2"/>
  <c r="AK10" i="2"/>
  <c r="AI10" i="2"/>
  <c r="AG10" i="2"/>
  <c r="O10" i="2"/>
  <c r="N10" i="2"/>
  <c r="I10" i="2"/>
  <c r="J10" i="2" s="1"/>
  <c r="G10" i="2"/>
  <c r="E10" i="2"/>
  <c r="C10" i="2"/>
  <c r="AO9" i="2"/>
  <c r="AM9" i="2"/>
  <c r="AK9" i="2"/>
  <c r="AI9" i="2"/>
  <c r="AG9" i="2"/>
  <c r="O9" i="2"/>
  <c r="N9" i="2"/>
  <c r="I9" i="2"/>
  <c r="J9" i="2" s="1"/>
  <c r="G9" i="2"/>
  <c r="E9" i="2"/>
  <c r="C9" i="2"/>
  <c r="AT8" i="2"/>
  <c r="AR8" i="2"/>
  <c r="AB8" i="2"/>
  <c r="AA15" i="2" s="1"/>
  <c r="Z8" i="2"/>
  <c r="X8" i="2"/>
  <c r="V8" i="2"/>
  <c r="U15" i="2" s="1"/>
  <c r="T8" i="2"/>
  <c r="S15" i="2" s="1"/>
  <c r="O8" i="2"/>
  <c r="N8" i="2"/>
  <c r="I8" i="2"/>
  <c r="J8" i="2" s="1"/>
  <c r="G8" i="2"/>
  <c r="E8" i="2"/>
  <c r="C8" i="2"/>
  <c r="AR7" i="2"/>
  <c r="AB7" i="2"/>
  <c r="Z7" i="2"/>
  <c r="X7" i="2"/>
  <c r="V7" i="2"/>
  <c r="T7" i="2"/>
  <c r="O7" i="2"/>
  <c r="N7" i="2"/>
  <c r="I7" i="2"/>
  <c r="J7" i="2" s="1"/>
  <c r="G7" i="2"/>
  <c r="E7" i="2"/>
  <c r="C7" i="2"/>
  <c r="AJ15" i="62" l="1"/>
  <c r="AR25" i="62"/>
  <c r="AS23" i="62"/>
  <c r="AO23" i="116"/>
  <c r="AN25" i="116"/>
  <c r="AN15" i="116"/>
  <c r="AL25" i="86"/>
  <c r="AM23" i="86"/>
  <c r="AJ25" i="62"/>
  <c r="AK23" i="62"/>
  <c r="AN14" i="106"/>
  <c r="AN15" i="106"/>
  <c r="AO12" i="106"/>
  <c r="AR15" i="86"/>
  <c r="AS12" i="86"/>
  <c r="AR14" i="86"/>
  <c r="AR25" i="101"/>
  <c r="AS23" i="101"/>
  <c r="AR15" i="62"/>
  <c r="AL14" i="94"/>
  <c r="AM12" i="94"/>
  <c r="AN14" i="107"/>
  <c r="AO12" i="107"/>
  <c r="AO12" i="116"/>
  <c r="AN14" i="116"/>
  <c r="C19" i="62"/>
  <c r="AL15" i="86"/>
  <c r="U11" i="106"/>
  <c r="AT15" i="107"/>
  <c r="T7" i="24"/>
  <c r="O11" i="24"/>
  <c r="G22" i="24"/>
  <c r="AQ15" i="36"/>
  <c r="O11" i="43"/>
  <c r="G22" i="43"/>
  <c r="F25" i="43"/>
  <c r="AD7" i="62"/>
  <c r="AD8" i="62"/>
  <c r="F25" i="62"/>
  <c r="C11" i="72"/>
  <c r="F14" i="72"/>
  <c r="AS23" i="72"/>
  <c r="C11" i="94"/>
  <c r="C22" i="97"/>
  <c r="G22" i="101"/>
  <c r="U11" i="107"/>
  <c r="C11" i="111"/>
  <c r="AA15" i="111"/>
  <c r="AJ25" i="111"/>
  <c r="I11" i="116"/>
  <c r="J11" i="116" s="1"/>
  <c r="C22" i="123"/>
  <c r="AO35" i="94"/>
  <c r="AA25" i="128"/>
  <c r="D25" i="24"/>
  <c r="AZ7" i="62"/>
  <c r="AZ8" i="62"/>
  <c r="I11" i="62"/>
  <c r="J11" i="62" s="1"/>
  <c r="R11" i="62"/>
  <c r="AD19" i="62"/>
  <c r="C22" i="77"/>
  <c r="X43" i="84"/>
  <c r="G22" i="94"/>
  <c r="Y15" i="97"/>
  <c r="AU12" i="107"/>
  <c r="O12" i="116"/>
  <c r="O14" i="116" s="1"/>
  <c r="AR14" i="116"/>
  <c r="E22" i="123"/>
  <c r="AA14" i="128"/>
  <c r="C21" i="128"/>
  <c r="V23" i="128"/>
  <c r="AF12" i="131"/>
  <c r="AD23" i="131"/>
  <c r="Y15" i="116"/>
  <c r="O11" i="33"/>
  <c r="E11" i="36"/>
  <c r="AL23" i="36"/>
  <c r="O12" i="43"/>
  <c r="O14" i="43" s="1"/>
  <c r="E11" i="43"/>
  <c r="AM14" i="43"/>
  <c r="E7" i="62"/>
  <c r="E8" i="62"/>
  <c r="E9" i="62"/>
  <c r="G18" i="62"/>
  <c r="G20" i="62"/>
  <c r="C21" i="62"/>
  <c r="AR25" i="84"/>
  <c r="AF43" i="84"/>
  <c r="AA15" i="97"/>
  <c r="G22" i="97"/>
  <c r="AK23" i="97"/>
  <c r="I11" i="101"/>
  <c r="J11" i="101" s="1"/>
  <c r="C22" i="101"/>
  <c r="Q12" i="116"/>
  <c r="Q14" i="116" s="1"/>
  <c r="F25" i="116"/>
  <c r="G11" i="123"/>
  <c r="C19" i="131"/>
  <c r="G21" i="131"/>
  <c r="C11" i="2"/>
  <c r="I22" i="43"/>
  <c r="J22" i="43" s="1"/>
  <c r="G11" i="107"/>
  <c r="B14" i="123"/>
  <c r="AK11" i="2"/>
  <c r="I11" i="33"/>
  <c r="J11" i="33" s="1"/>
  <c r="B14" i="36"/>
  <c r="AT23" i="36"/>
  <c r="G7" i="62"/>
  <c r="G8" i="62"/>
  <c r="G9" i="62"/>
  <c r="S11" i="62"/>
  <c r="AQ12" i="77"/>
  <c r="D14" i="84"/>
  <c r="C11" i="91"/>
  <c r="AP15" i="97"/>
  <c r="AQ23" i="101"/>
  <c r="AS23" i="107"/>
  <c r="AM23" i="106"/>
  <c r="I11" i="111"/>
  <c r="J11" i="111" s="1"/>
  <c r="T25" i="116"/>
  <c r="L12" i="128"/>
  <c r="L14" i="128" s="1"/>
  <c r="Y14" i="131"/>
  <c r="G19" i="131"/>
  <c r="W25" i="131"/>
  <c r="W15" i="2"/>
  <c r="AI11" i="2"/>
  <c r="AM11" i="2"/>
  <c r="AL14" i="2" s="1"/>
  <c r="L12" i="2"/>
  <c r="L14" i="2" s="1"/>
  <c r="N12" i="24"/>
  <c r="N14" i="24" s="1"/>
  <c r="AB15" i="33"/>
  <c r="AM15" i="33"/>
  <c r="S11" i="43"/>
  <c r="E11" i="77"/>
  <c r="D14" i="77"/>
  <c r="W15" i="91"/>
  <c r="E11" i="91"/>
  <c r="B14" i="94"/>
  <c r="AL49" i="94"/>
  <c r="O22" i="97"/>
  <c r="Q12" i="101"/>
  <c r="Q14" i="101" s="1"/>
  <c r="S11" i="111"/>
  <c r="BD11" i="116"/>
  <c r="AS12" i="116"/>
  <c r="Z23" i="123"/>
  <c r="C9" i="131"/>
  <c r="R11" i="131"/>
  <c r="AA14" i="131"/>
  <c r="AC25" i="131"/>
  <c r="AL25" i="101"/>
  <c r="N12" i="2"/>
  <c r="N14" i="2" s="1"/>
  <c r="E22" i="2"/>
  <c r="I22" i="33"/>
  <c r="J22" i="33" s="1"/>
  <c r="AM25" i="33"/>
  <c r="T11" i="43"/>
  <c r="AQ15" i="43"/>
  <c r="AM12" i="62"/>
  <c r="Z18" i="62"/>
  <c r="O12" i="72"/>
  <c r="O14" i="72" s="1"/>
  <c r="AP14" i="77"/>
  <c r="I22" i="91"/>
  <c r="J22" i="91" s="1"/>
  <c r="I11" i="107"/>
  <c r="J11" i="107" s="1"/>
  <c r="C22" i="107"/>
  <c r="AG15" i="106"/>
  <c r="AR25" i="106"/>
  <c r="B25" i="123"/>
  <c r="C10" i="131"/>
  <c r="AJ15" i="2"/>
  <c r="AJ14" i="2"/>
  <c r="AK12" i="2"/>
  <c r="O12" i="24"/>
  <c r="O14" i="24" s="1"/>
  <c r="AT12" i="24"/>
  <c r="AS15" i="24"/>
  <c r="AS14" i="24"/>
  <c r="AQ25" i="24"/>
  <c r="AR23" i="24"/>
  <c r="AH15" i="2"/>
  <c r="AH14" i="2"/>
  <c r="AI12" i="2"/>
  <c r="AM23" i="2"/>
  <c r="AL25" i="2"/>
  <c r="AO14" i="24"/>
  <c r="AP12" i="24"/>
  <c r="AO15" i="24"/>
  <c r="AM25" i="24"/>
  <c r="AN23" i="24"/>
  <c r="AH25" i="2"/>
  <c r="AI23" i="2"/>
  <c r="AL12" i="24"/>
  <c r="AK15" i="24"/>
  <c r="AK14" i="24"/>
  <c r="AN14" i="2"/>
  <c r="G22" i="2"/>
  <c r="AO15" i="43"/>
  <c r="AO14" i="43"/>
  <c r="AT7" i="2"/>
  <c r="C22" i="24"/>
  <c r="AP23" i="33"/>
  <c r="AK14" i="36"/>
  <c r="AK15" i="36"/>
  <c r="AP12" i="43"/>
  <c r="AO23" i="2"/>
  <c r="G11" i="24"/>
  <c r="B14" i="24"/>
  <c r="AM14" i="24"/>
  <c r="AQ15" i="24"/>
  <c r="I22" i="24"/>
  <c r="J22" i="24" s="1"/>
  <c r="AL23" i="24"/>
  <c r="AT23" i="24"/>
  <c r="O12" i="33"/>
  <c r="O14" i="33" s="1"/>
  <c r="Z15" i="33"/>
  <c r="E11" i="33"/>
  <c r="T11" i="33"/>
  <c r="AK14" i="33"/>
  <c r="AK15" i="33"/>
  <c r="AS14" i="33"/>
  <c r="AS15" i="33"/>
  <c r="AQ15" i="33"/>
  <c r="AT23" i="33"/>
  <c r="AQ25" i="33"/>
  <c r="AL12" i="36"/>
  <c r="C22" i="36"/>
  <c r="B25" i="36"/>
  <c r="AQ14" i="43"/>
  <c r="AM15" i="43"/>
  <c r="AP23" i="43"/>
  <c r="AU23" i="43" s="1"/>
  <c r="AM25" i="43"/>
  <c r="AO12" i="2"/>
  <c r="AF14" i="2"/>
  <c r="C22" i="2"/>
  <c r="AJ25" i="2"/>
  <c r="AN12" i="24"/>
  <c r="AQ25" i="36"/>
  <c r="I11" i="2"/>
  <c r="J11" i="2" s="1"/>
  <c r="I22" i="2"/>
  <c r="J22" i="2" s="1"/>
  <c r="AG23" i="2"/>
  <c r="E11" i="2"/>
  <c r="M12" i="2"/>
  <c r="M14" i="2" s="1"/>
  <c r="AF15" i="2"/>
  <c r="AA7" i="24"/>
  <c r="C11" i="24"/>
  <c r="AR12" i="24"/>
  <c r="S12" i="33"/>
  <c r="S14" i="33" s="1"/>
  <c r="C22" i="33"/>
  <c r="B25" i="33"/>
  <c r="C11" i="36"/>
  <c r="G11" i="36"/>
  <c r="AO15" i="36"/>
  <c r="AO14" i="36"/>
  <c r="AP12" i="36"/>
  <c r="AM14" i="36"/>
  <c r="D25" i="36"/>
  <c r="E22" i="36"/>
  <c r="AK14" i="43"/>
  <c r="AK15" i="43"/>
  <c r="AS14" i="43"/>
  <c r="AS15" i="43"/>
  <c r="AQ25" i="43"/>
  <c r="T11" i="24"/>
  <c r="AO25" i="24"/>
  <c r="AQ14" i="33"/>
  <c r="AS14" i="36"/>
  <c r="AS15" i="36"/>
  <c r="D25" i="43"/>
  <c r="E22" i="43"/>
  <c r="E11" i="24"/>
  <c r="T7" i="33"/>
  <c r="AD15" i="33"/>
  <c r="C11" i="33"/>
  <c r="G11" i="33"/>
  <c r="AO15" i="33"/>
  <c r="AO14" i="33"/>
  <c r="AP12" i="33"/>
  <c r="AU12" i="33" s="1"/>
  <c r="AM14" i="33"/>
  <c r="D25" i="33"/>
  <c r="E22" i="33"/>
  <c r="AL23" i="33"/>
  <c r="AU23" i="33" s="1"/>
  <c r="F25" i="33"/>
  <c r="O12" i="36"/>
  <c r="O14" i="36" s="1"/>
  <c r="O11" i="36"/>
  <c r="T11" i="36" s="1"/>
  <c r="S11" i="36"/>
  <c r="S12" i="36" s="1"/>
  <c r="S14" i="36" s="1"/>
  <c r="AT12" i="36"/>
  <c r="AQ14" i="36"/>
  <c r="AM15" i="36"/>
  <c r="G22" i="36"/>
  <c r="AP23" i="36"/>
  <c r="AU23" i="36" s="1"/>
  <c r="AM25" i="36"/>
  <c r="S12" i="43"/>
  <c r="S14" i="43" s="1"/>
  <c r="AL12" i="43"/>
  <c r="C22" i="43"/>
  <c r="B25" i="43"/>
  <c r="I11" i="43"/>
  <c r="J11" i="43" s="1"/>
  <c r="G22" i="62"/>
  <c r="C22" i="62"/>
  <c r="G11" i="62"/>
  <c r="C11" i="62"/>
  <c r="AL14" i="62"/>
  <c r="AC15" i="62"/>
  <c r="AP14" i="62"/>
  <c r="AQ12" i="62"/>
  <c r="E22" i="62"/>
  <c r="D25" i="62"/>
  <c r="D14" i="62"/>
  <c r="E11" i="62"/>
  <c r="AL25" i="62"/>
  <c r="AM23" i="62"/>
  <c r="AT23" i="62" s="1"/>
  <c r="AB7" i="62"/>
  <c r="AX7" i="62"/>
  <c r="AB8" i="62"/>
  <c r="AX8" i="62"/>
  <c r="AK12" i="62"/>
  <c r="AS12" i="62"/>
  <c r="AJ14" i="62"/>
  <c r="AR14" i="62"/>
  <c r="AN15" i="62"/>
  <c r="E18" i="62"/>
  <c r="X18" i="62"/>
  <c r="AF18" i="62"/>
  <c r="AB19" i="62"/>
  <c r="E20" i="62"/>
  <c r="AN25" i="62"/>
  <c r="AQ12" i="72"/>
  <c r="AP14" i="72"/>
  <c r="AL15" i="72"/>
  <c r="C22" i="72"/>
  <c r="B25" i="72"/>
  <c r="L12" i="77"/>
  <c r="L14" i="77" s="1"/>
  <c r="R11" i="77"/>
  <c r="R12" i="77" s="1"/>
  <c r="R14" i="77" s="1"/>
  <c r="S11" i="77"/>
  <c r="AN14" i="77"/>
  <c r="AO12" i="77"/>
  <c r="AN25" i="77"/>
  <c r="AN15" i="77"/>
  <c r="B25" i="77"/>
  <c r="AK12" i="72"/>
  <c r="AS12" i="72"/>
  <c r="AJ14" i="72"/>
  <c r="AR14" i="72"/>
  <c r="AN15" i="72"/>
  <c r="D25" i="72"/>
  <c r="E22" i="72"/>
  <c r="Y15" i="77"/>
  <c r="I11" i="77"/>
  <c r="J11" i="77" s="1"/>
  <c r="C11" i="77"/>
  <c r="B14" i="77"/>
  <c r="F25" i="77"/>
  <c r="G22" i="77"/>
  <c r="AP25" i="77"/>
  <c r="AQ23" i="77"/>
  <c r="AL25" i="77"/>
  <c r="X7" i="62"/>
  <c r="AF7" i="62"/>
  <c r="BB7" i="62"/>
  <c r="X8" i="62"/>
  <c r="AF8" i="62"/>
  <c r="BB8" i="62"/>
  <c r="AO12" i="62"/>
  <c r="AB18" i="62"/>
  <c r="E19" i="62"/>
  <c r="X19" i="62"/>
  <c r="AF19" i="62"/>
  <c r="E21" i="62"/>
  <c r="R11" i="72"/>
  <c r="R12" i="72" s="1"/>
  <c r="R14" i="72" s="1"/>
  <c r="AM12" i="72"/>
  <c r="G22" i="72"/>
  <c r="AO23" i="72"/>
  <c r="AT23" i="72" s="1"/>
  <c r="AL25" i="72"/>
  <c r="AJ14" i="77"/>
  <c r="AK12" i="77"/>
  <c r="AJ15" i="77"/>
  <c r="AR14" i="77"/>
  <c r="AS12" i="77"/>
  <c r="AR15" i="77"/>
  <c r="AK23" i="77"/>
  <c r="AJ25" i="77"/>
  <c r="AS23" i="77"/>
  <c r="AR25" i="77"/>
  <c r="C7" i="62"/>
  <c r="Z7" i="62"/>
  <c r="AV7" i="62"/>
  <c r="C8" i="62"/>
  <c r="Z8" i="62"/>
  <c r="Y15" i="62" s="1"/>
  <c r="AV8" i="62"/>
  <c r="C9" i="62"/>
  <c r="C10" i="62"/>
  <c r="R12" i="62"/>
  <c r="R14" i="62" s="1"/>
  <c r="C18" i="62"/>
  <c r="G19" i="62"/>
  <c r="E11" i="72"/>
  <c r="AO12" i="72"/>
  <c r="I22" i="72"/>
  <c r="J22" i="72" s="1"/>
  <c r="AP25" i="72"/>
  <c r="F14" i="77"/>
  <c r="G11" i="77"/>
  <c r="AL14" i="77"/>
  <c r="AM12" i="77"/>
  <c r="E22" i="77"/>
  <c r="AJ14" i="84"/>
  <c r="AK12" i="84"/>
  <c r="AJ15" i="84"/>
  <c r="AR14" i="84"/>
  <c r="AS12" i="84"/>
  <c r="AR15" i="84"/>
  <c r="D25" i="84"/>
  <c r="E22" i="84"/>
  <c r="AJ25" i="84"/>
  <c r="AD44" i="84"/>
  <c r="AC40" i="84" s="1"/>
  <c r="F14" i="86"/>
  <c r="G11" i="86"/>
  <c r="AM12" i="86"/>
  <c r="AL14" i="86"/>
  <c r="AJ25" i="86"/>
  <c r="F14" i="84"/>
  <c r="G11" i="84"/>
  <c r="AL14" i="84"/>
  <c r="AM12" i="84"/>
  <c r="AL15" i="84"/>
  <c r="AN25" i="84"/>
  <c r="AO23" i="84"/>
  <c r="AO27" i="84" s="1"/>
  <c r="AN15" i="84"/>
  <c r="L12" i="86"/>
  <c r="L14" i="86" s="1"/>
  <c r="R11" i="86"/>
  <c r="R12" i="86" s="1"/>
  <c r="R14" i="86" s="1"/>
  <c r="S11" i="86"/>
  <c r="E22" i="86"/>
  <c r="P12" i="86"/>
  <c r="P14" i="86" s="1"/>
  <c r="AN14" i="86"/>
  <c r="AO12" i="86"/>
  <c r="C22" i="86"/>
  <c r="AK23" i="91"/>
  <c r="AJ25" i="91"/>
  <c r="AP14" i="94"/>
  <c r="AQ12" i="94"/>
  <c r="AP15" i="94"/>
  <c r="D25" i="77"/>
  <c r="L12" i="84"/>
  <c r="L14" i="84" s="1"/>
  <c r="R11" i="84"/>
  <c r="R12" i="84" s="1"/>
  <c r="R14" i="84" s="1"/>
  <c r="S11" i="84"/>
  <c r="AN14" i="84"/>
  <c r="AO12" i="84"/>
  <c r="I11" i="86"/>
  <c r="J11" i="86" s="1"/>
  <c r="C11" i="86"/>
  <c r="AP14" i="86"/>
  <c r="AQ12" i="86"/>
  <c r="AP15" i="86"/>
  <c r="B14" i="86"/>
  <c r="AN14" i="91"/>
  <c r="AO12" i="91"/>
  <c r="AT12" i="91" s="1"/>
  <c r="AN15" i="91"/>
  <c r="Z44" i="84"/>
  <c r="Y40" i="84" s="1"/>
  <c r="AF44" i="84"/>
  <c r="AE40" i="84" s="1"/>
  <c r="X44" i="84"/>
  <c r="W40" i="84" s="1"/>
  <c r="AB44" i="84"/>
  <c r="AA40" i="84" s="1"/>
  <c r="I11" i="84"/>
  <c r="J11" i="84" s="1"/>
  <c r="C11" i="84"/>
  <c r="B14" i="84"/>
  <c r="AQ12" i="84"/>
  <c r="AP14" i="84"/>
  <c r="AU27" i="84"/>
  <c r="AJ15" i="86"/>
  <c r="AJ14" i="86"/>
  <c r="AK12" i="86"/>
  <c r="AT12" i="86" s="1"/>
  <c r="C22" i="84"/>
  <c r="G22" i="84"/>
  <c r="AD43" i="84"/>
  <c r="E11" i="86"/>
  <c r="AR15" i="91"/>
  <c r="AS12" i="91"/>
  <c r="C22" i="91"/>
  <c r="AN25" i="91"/>
  <c r="AO23" i="91"/>
  <c r="AM23" i="91"/>
  <c r="AR25" i="91"/>
  <c r="AL25" i="94"/>
  <c r="AM23" i="94"/>
  <c r="Z43" i="84"/>
  <c r="I22" i="86"/>
  <c r="J22" i="86" s="1"/>
  <c r="AP25" i="86"/>
  <c r="AQ23" i="86"/>
  <c r="G11" i="91"/>
  <c r="AJ15" i="91"/>
  <c r="AP14" i="91"/>
  <c r="AQ12" i="91"/>
  <c r="AP15" i="91"/>
  <c r="E22" i="91"/>
  <c r="AP25" i="91"/>
  <c r="AQ23" i="91"/>
  <c r="AR25" i="86"/>
  <c r="AL15" i="91"/>
  <c r="AL14" i="91"/>
  <c r="AM12" i="91"/>
  <c r="S11" i="94"/>
  <c r="AP25" i="94"/>
  <c r="AP14" i="97"/>
  <c r="AL15" i="101"/>
  <c r="AL14" i="101"/>
  <c r="AM12" i="101"/>
  <c r="AN15" i="101"/>
  <c r="AO23" i="101"/>
  <c r="AN25" i="101"/>
  <c r="I11" i="91"/>
  <c r="J11" i="91" s="1"/>
  <c r="R11" i="91"/>
  <c r="R12" i="91" s="1"/>
  <c r="R14" i="91" s="1"/>
  <c r="L12" i="91"/>
  <c r="L14" i="91" s="1"/>
  <c r="B25" i="91"/>
  <c r="E11" i="94"/>
  <c r="AJ14" i="94"/>
  <c r="AK12" i="94"/>
  <c r="AO12" i="94"/>
  <c r="AJ15" i="94"/>
  <c r="C22" i="94"/>
  <c r="R11" i="97"/>
  <c r="R12" i="97" s="1"/>
  <c r="R14" i="97" s="1"/>
  <c r="AQ12" i="97"/>
  <c r="AQ23" i="97"/>
  <c r="AT23" i="97" s="1"/>
  <c r="AP25" i="97"/>
  <c r="D25" i="91"/>
  <c r="AN25" i="94"/>
  <c r="AN15" i="94"/>
  <c r="AO23" i="94"/>
  <c r="AK23" i="94"/>
  <c r="D14" i="97"/>
  <c r="E11" i="97"/>
  <c r="AM23" i="97"/>
  <c r="AL25" i="97"/>
  <c r="I11" i="94"/>
  <c r="J11" i="94" s="1"/>
  <c r="R11" i="94"/>
  <c r="R12" i="94" s="1"/>
  <c r="R14" i="94" s="1"/>
  <c r="AL15" i="94"/>
  <c r="AR14" i="94"/>
  <c r="AS12" i="94"/>
  <c r="AR15" i="94"/>
  <c r="AL37" i="94"/>
  <c r="S11" i="97"/>
  <c r="AN14" i="97"/>
  <c r="AO12" i="97"/>
  <c r="AP15" i="101"/>
  <c r="AP14" i="101"/>
  <c r="AQ12" i="101"/>
  <c r="G11" i="101"/>
  <c r="C11" i="101"/>
  <c r="N12" i="101"/>
  <c r="N14" i="101" s="1"/>
  <c r="R11" i="101"/>
  <c r="R12" i="101" s="1"/>
  <c r="R14" i="101" s="1"/>
  <c r="F25" i="107"/>
  <c r="I22" i="107"/>
  <c r="J22" i="107" s="1"/>
  <c r="G22" i="107"/>
  <c r="C11" i="106"/>
  <c r="G11" i="106"/>
  <c r="G22" i="106"/>
  <c r="Q12" i="106"/>
  <c r="Q14" i="106" s="1"/>
  <c r="AL14" i="106"/>
  <c r="AL15" i="106"/>
  <c r="AT25" i="106"/>
  <c r="AU23" i="106"/>
  <c r="AJ14" i="97"/>
  <c r="AK12" i="97"/>
  <c r="AJ15" i="97"/>
  <c r="D25" i="97"/>
  <c r="E22" i="97"/>
  <c r="S11" i="101"/>
  <c r="E22" i="101"/>
  <c r="D25" i="101"/>
  <c r="D14" i="106"/>
  <c r="E11" i="106"/>
  <c r="I11" i="106"/>
  <c r="J11" i="106" s="1"/>
  <c r="C22" i="106"/>
  <c r="AQ23" i="106"/>
  <c r="AP15" i="106"/>
  <c r="AP25" i="106"/>
  <c r="AJ15" i="111"/>
  <c r="AJ14" i="111"/>
  <c r="W25" i="123"/>
  <c r="X23" i="123"/>
  <c r="W15" i="123"/>
  <c r="I22" i="94"/>
  <c r="J22" i="94" s="1"/>
  <c r="F14" i="97"/>
  <c r="G11" i="97"/>
  <c r="AM12" i="97"/>
  <c r="B14" i="97"/>
  <c r="AL14" i="97"/>
  <c r="AN25" i="97"/>
  <c r="AN15" i="97"/>
  <c r="E11" i="101"/>
  <c r="M12" i="107"/>
  <c r="M14" i="107" s="1"/>
  <c r="C11" i="107"/>
  <c r="AL14" i="107"/>
  <c r="AM12" i="107"/>
  <c r="AL15" i="107"/>
  <c r="Q12" i="107"/>
  <c r="Q14" i="107" s="1"/>
  <c r="AL25" i="107"/>
  <c r="AM23" i="107"/>
  <c r="AM12" i="106"/>
  <c r="E22" i="106"/>
  <c r="D25" i="106"/>
  <c r="C22" i="111"/>
  <c r="B25" i="111"/>
  <c r="AM23" i="111"/>
  <c r="AL25" i="111"/>
  <c r="AL15" i="111"/>
  <c r="G11" i="94"/>
  <c r="E22" i="94"/>
  <c r="I11" i="97"/>
  <c r="J11" i="97" s="1"/>
  <c r="AR14" i="97"/>
  <c r="AS12" i="97"/>
  <c r="AJ15" i="101"/>
  <c r="I22" i="101"/>
  <c r="J22" i="101" s="1"/>
  <c r="AK23" i="101"/>
  <c r="AT23" i="101" s="1"/>
  <c r="AR15" i="107"/>
  <c r="AS12" i="107"/>
  <c r="AR14" i="107"/>
  <c r="E22" i="107"/>
  <c r="AO23" i="107"/>
  <c r="AN25" i="107"/>
  <c r="AN15" i="107"/>
  <c r="AT25" i="107"/>
  <c r="AU23" i="107"/>
  <c r="AQ12" i="106"/>
  <c r="AP14" i="106"/>
  <c r="M12" i="106"/>
  <c r="M14" i="106" s="1"/>
  <c r="AT15" i="106"/>
  <c r="AP15" i="116"/>
  <c r="AP14" i="116"/>
  <c r="AQ12" i="116"/>
  <c r="AN14" i="111"/>
  <c r="AO12" i="111"/>
  <c r="AN15" i="111"/>
  <c r="AQ23" i="111"/>
  <c r="AT23" i="111" s="1"/>
  <c r="AP25" i="111"/>
  <c r="AL14" i="116"/>
  <c r="AM12" i="116"/>
  <c r="AL15" i="116"/>
  <c r="P18" i="116"/>
  <c r="J18" i="116"/>
  <c r="J21" i="116"/>
  <c r="P21" i="116"/>
  <c r="S23" i="116"/>
  <c r="R25" i="116"/>
  <c r="AJ25" i="116"/>
  <c r="AJ15" i="116"/>
  <c r="AQ23" i="116"/>
  <c r="AP25" i="116"/>
  <c r="AK23" i="116"/>
  <c r="H11" i="128"/>
  <c r="I11" i="128" s="1"/>
  <c r="M12" i="128"/>
  <c r="M14" i="128" s="1"/>
  <c r="R11" i="128"/>
  <c r="P11" i="128"/>
  <c r="AE15" i="107"/>
  <c r="AP14" i="107"/>
  <c r="AR15" i="106"/>
  <c r="AS12" i="106"/>
  <c r="AU12" i="106"/>
  <c r="AP15" i="111"/>
  <c r="AP14" i="111"/>
  <c r="AQ12" i="111"/>
  <c r="G22" i="111"/>
  <c r="F25" i="111"/>
  <c r="N12" i="116"/>
  <c r="N14" i="116" s="1"/>
  <c r="G11" i="116"/>
  <c r="C11" i="116"/>
  <c r="R11" i="116"/>
  <c r="R12" i="116" s="1"/>
  <c r="R14" i="116" s="1"/>
  <c r="M23" i="116"/>
  <c r="M25" i="116" s="1"/>
  <c r="O22" i="116"/>
  <c r="AR25" i="116"/>
  <c r="AS23" i="116"/>
  <c r="R11" i="123"/>
  <c r="AA25" i="123"/>
  <c r="AB23" i="123"/>
  <c r="AE25" i="123"/>
  <c r="AF23" i="123"/>
  <c r="G10" i="128"/>
  <c r="E10" i="128"/>
  <c r="C10" i="128"/>
  <c r="E11" i="128"/>
  <c r="Y25" i="128"/>
  <c r="Z23" i="128"/>
  <c r="AC25" i="128"/>
  <c r="AC15" i="128"/>
  <c r="AD23" i="128"/>
  <c r="D25" i="131"/>
  <c r="AC15" i="101"/>
  <c r="AJ14" i="101"/>
  <c r="AK12" i="101"/>
  <c r="AR14" i="101"/>
  <c r="AS12" i="101"/>
  <c r="AO12" i="101"/>
  <c r="D14" i="107"/>
  <c r="E11" i="107"/>
  <c r="AP15" i="107"/>
  <c r="AQ23" i="107"/>
  <c r="AE15" i="106"/>
  <c r="AN25" i="106"/>
  <c r="AO23" i="106"/>
  <c r="E11" i="111"/>
  <c r="D14" i="111"/>
  <c r="AR15" i="111"/>
  <c r="AR14" i="111"/>
  <c r="I22" i="111"/>
  <c r="J22" i="111" s="1"/>
  <c r="R12" i="123"/>
  <c r="R14" i="123" s="1"/>
  <c r="C11" i="123"/>
  <c r="C9" i="128"/>
  <c r="G9" i="128"/>
  <c r="E9" i="128"/>
  <c r="V11" i="128"/>
  <c r="Y15" i="111"/>
  <c r="AM12" i="111"/>
  <c r="D14" i="116"/>
  <c r="J20" i="116"/>
  <c r="P20" i="116"/>
  <c r="D14" i="123"/>
  <c r="E11" i="123"/>
  <c r="W14" i="123"/>
  <c r="X12" i="123"/>
  <c r="AA15" i="123"/>
  <c r="AA14" i="123"/>
  <c r="AB12" i="123"/>
  <c r="C20" i="128"/>
  <c r="E20" i="128"/>
  <c r="F25" i="131"/>
  <c r="I22" i="131"/>
  <c r="J22" i="131" s="1"/>
  <c r="T11" i="107"/>
  <c r="T12" i="107" s="1"/>
  <c r="T14" i="107" s="1"/>
  <c r="T11" i="106"/>
  <c r="T12" i="106" s="1"/>
  <c r="T14" i="106" s="1"/>
  <c r="G11" i="111"/>
  <c r="E22" i="111"/>
  <c r="S19" i="116"/>
  <c r="BD8" i="116"/>
  <c r="O23" i="116"/>
  <c r="O25" i="116" s="1"/>
  <c r="P19" i="116"/>
  <c r="AF12" i="123"/>
  <c r="AE15" i="123"/>
  <c r="I22" i="123"/>
  <c r="J22" i="123" s="1"/>
  <c r="F25" i="123"/>
  <c r="G22" i="123"/>
  <c r="I22" i="116"/>
  <c r="S11" i="123"/>
  <c r="AC15" i="123"/>
  <c r="AD12" i="123"/>
  <c r="Y14" i="123"/>
  <c r="Y15" i="123"/>
  <c r="X19" i="128"/>
  <c r="G19" i="128"/>
  <c r="V19" i="128"/>
  <c r="C19" i="128"/>
  <c r="AD19" i="128"/>
  <c r="W15" i="128"/>
  <c r="W14" i="128"/>
  <c r="AA15" i="128"/>
  <c r="W15" i="131"/>
  <c r="W14" i="131"/>
  <c r="X12" i="131"/>
  <c r="AK12" i="116"/>
  <c r="E22" i="116"/>
  <c r="Z19" i="128"/>
  <c r="P11" i="131"/>
  <c r="P12" i="131" s="1"/>
  <c r="P14" i="131" s="1"/>
  <c r="E20" i="131"/>
  <c r="C20" i="131"/>
  <c r="F14" i="131"/>
  <c r="AB8" i="128"/>
  <c r="C8" i="128"/>
  <c r="V8" i="128"/>
  <c r="AG8" i="128"/>
  <c r="Q11" i="128"/>
  <c r="Y15" i="128"/>
  <c r="H22" i="128"/>
  <c r="I22" i="128" s="1"/>
  <c r="F25" i="128"/>
  <c r="E10" i="131"/>
  <c r="G20" i="131"/>
  <c r="AE25" i="131"/>
  <c r="AE15" i="131"/>
  <c r="AA25" i="131"/>
  <c r="B14" i="131"/>
  <c r="I11" i="131"/>
  <c r="J11" i="131" s="1"/>
  <c r="Q11" i="131"/>
  <c r="Q12" i="131" s="1"/>
  <c r="Q14" i="131" s="1"/>
  <c r="S11" i="131"/>
  <c r="N12" i="131"/>
  <c r="N14" i="131" s="1"/>
  <c r="E19" i="131"/>
  <c r="X19" i="131"/>
  <c r="E21" i="131"/>
  <c r="X8" i="131"/>
  <c r="Z23" i="131"/>
  <c r="AT12" i="94" l="1"/>
  <c r="AP12" i="2"/>
  <c r="AV23" i="106"/>
  <c r="AA15" i="62"/>
  <c r="AT12" i="111"/>
  <c r="AT12" i="101"/>
  <c r="AT23" i="116"/>
  <c r="AT23" i="84"/>
  <c r="AE15" i="62"/>
  <c r="AP23" i="2"/>
  <c r="AL15" i="2"/>
  <c r="AT23" i="86"/>
  <c r="AT12" i="77"/>
  <c r="AU12" i="43"/>
  <c r="AM12" i="2"/>
  <c r="AU12" i="36"/>
  <c r="P22" i="116"/>
  <c r="J22" i="116"/>
  <c r="E22" i="128"/>
  <c r="C22" i="128"/>
  <c r="G22" i="128"/>
  <c r="AT12" i="97"/>
  <c r="AU23" i="24"/>
  <c r="G22" i="131"/>
  <c r="E22" i="131"/>
  <c r="AV12" i="106"/>
  <c r="W15" i="62"/>
  <c r="AT12" i="62"/>
  <c r="AU12" i="24"/>
  <c r="V12" i="128"/>
  <c r="U15" i="128"/>
  <c r="U14" i="128"/>
  <c r="G11" i="131"/>
  <c r="C22" i="131"/>
  <c r="C11" i="131"/>
  <c r="AT12" i="116"/>
  <c r="P12" i="128"/>
  <c r="P14" i="128" s="1"/>
  <c r="E11" i="131"/>
  <c r="AV23" i="107"/>
  <c r="AV12" i="107"/>
  <c r="AT23" i="94"/>
  <c r="AT23" i="91"/>
  <c r="AT12" i="84"/>
  <c r="AT23" i="77"/>
  <c r="AT12" i="72"/>
</calcChain>
</file>

<file path=xl/sharedStrings.xml><?xml version="1.0" encoding="utf-8"?>
<sst xmlns="http://schemas.openxmlformats.org/spreadsheetml/2006/main" count="3970" uniqueCount="363">
  <si>
    <t>Acceptability Limits</t>
  </si>
  <si>
    <t>No analyte detectable</t>
  </si>
  <si>
    <t>Accuracy of Matrix spikes</t>
  </si>
  <si>
    <t>&lt;25%</t>
  </si>
  <si>
    <t>70-130%</t>
  </si>
  <si>
    <t xml:space="preserve">DBOFB </t>
  </si>
  <si>
    <t>trans permethrin</t>
  </si>
  <si>
    <t>cis permethrin</t>
  </si>
  <si>
    <t xml:space="preserve"> </t>
  </si>
  <si>
    <t>DCBP</t>
  </si>
  <si>
    <t>average=</t>
  </si>
  <si>
    <t>%RPD=</t>
  </si>
  <si>
    <t>%RSD=</t>
  </si>
  <si>
    <t>Data File</t>
  </si>
  <si>
    <t>Accuracy of Surrogates</t>
  </si>
  <si>
    <t>Sample name</t>
  </si>
  <si>
    <t>% Recovery or ng/L</t>
  </si>
  <si>
    <t>Sum permethrin</t>
  </si>
  <si>
    <t xml:space="preserve">&lt;10% </t>
  </si>
  <si>
    <t>Accuracy of Spikes (average of surrogate and analytes) Compared  to Expected</t>
  </si>
  <si>
    <t>Method Blank</t>
  </si>
  <si>
    <t>Analyte Accuracy (%RPD)</t>
  </si>
  <si>
    <t>Analyte Expected</t>
  </si>
  <si>
    <t>Accuracy of Spikes for Analyte, Compared to Expected</t>
  </si>
  <si>
    <t>Relative Percent Standard Deviation of MS, MSD, and MST</t>
  </si>
  <si>
    <t>&lt;20%</t>
  </si>
  <si>
    <t>Relative Percent Difference (%RPD) between MS and MSD, MS and MST, OR MSD and MST</t>
  </si>
  <si>
    <t>Comparison to Nominal</t>
  </si>
  <si>
    <t>Level 7 (10000 ppb)</t>
  </si>
  <si>
    <t>average d0/d4 = 38.3%-65.8%</t>
  </si>
  <si>
    <t>%RPD spike check</t>
  </si>
  <si>
    <t>average, ng/mL</t>
  </si>
  <si>
    <t>Expected (Nominal)=</t>
  </si>
  <si>
    <t>%RSD Q</t>
  </si>
  <si>
    <t>MS 0</t>
  </si>
  <si>
    <t>MSD 0</t>
  </si>
  <si>
    <t xml:space="preserve">1000 0 </t>
  </si>
  <si>
    <t xml:space="preserve">3000 0 </t>
  </si>
  <si>
    <t>1000 4</t>
  </si>
  <si>
    <t>3000 4</t>
  </si>
  <si>
    <t>8000 4</t>
  </si>
  <si>
    <t>Blank 4</t>
  </si>
  <si>
    <t>MS 4</t>
  </si>
  <si>
    <t>MSD 4</t>
  </si>
  <si>
    <t>MST 4</t>
  </si>
  <si>
    <t>SPCK- 0, ng/mL</t>
  </si>
  <si>
    <t>SPCK- 4, ng/mL</t>
  </si>
  <si>
    <t>MS D4</t>
  </si>
  <si>
    <t>MSD D4</t>
  </si>
  <si>
    <t>MST D4</t>
  </si>
  <si>
    <t>MST D0</t>
  </si>
  <si>
    <t>MSD D0</t>
  </si>
  <si>
    <t>MS D0</t>
  </si>
  <si>
    <t>ND</t>
  </si>
  <si>
    <t>Blank D0 ng/mL</t>
  </si>
  <si>
    <t>Blank D4 ng/mL</t>
  </si>
  <si>
    <t>1000 D0</t>
  </si>
  <si>
    <t>3000 D0</t>
  </si>
  <si>
    <t>4000 D0</t>
  </si>
  <si>
    <t xml:space="preserve">6000 D0 </t>
  </si>
  <si>
    <t xml:space="preserve">8000 D0 </t>
  </si>
  <si>
    <t>1000 D4</t>
  </si>
  <si>
    <t>3000 D4</t>
  </si>
  <si>
    <t>4000 D4</t>
  </si>
  <si>
    <t>6000 D4</t>
  </si>
  <si>
    <t>8000 D4</t>
  </si>
  <si>
    <t>1000 D4 Dil</t>
  </si>
  <si>
    <t>3000 D4 Dil</t>
  </si>
  <si>
    <t>4000 D4 Dil</t>
  </si>
  <si>
    <t>6000 D4 Dil</t>
  </si>
  <si>
    <t>8000 D4 Dil</t>
  </si>
  <si>
    <t>6000 D0 Dil</t>
  </si>
  <si>
    <t>4000 D0 Dil</t>
  </si>
  <si>
    <t>3000 D0 Dil</t>
  </si>
  <si>
    <t>1000 D0 Dil</t>
  </si>
  <si>
    <t>Sequence LK051519.S on GCMS-EI (160).</t>
  </si>
  <si>
    <t>MS17 Tox Test Perm 18C 0.2 ppt</t>
  </si>
  <si>
    <t xml:space="preserve">8000 D0 Dil </t>
  </si>
  <si>
    <t>average recovery d4:</t>
  </si>
  <si>
    <t>Average of D0&amp;D4 % Recovery (DCBP)</t>
  </si>
  <si>
    <t>Average % Recovery of Permethrin D0&amp;D4:</t>
  </si>
  <si>
    <t>average % recovery permethrin D0</t>
  </si>
  <si>
    <t>% recovered</t>
  </si>
  <si>
    <t>MST 0</t>
  </si>
  <si>
    <t>4000 0</t>
  </si>
  <si>
    <t>6000 0</t>
  </si>
  <si>
    <t>8000 0</t>
  </si>
  <si>
    <t xml:space="preserve">Blank 0 </t>
  </si>
  <si>
    <t xml:space="preserve">Concentration Levels: </t>
  </si>
  <si>
    <t>Analyte:</t>
  </si>
  <si>
    <t>Permethrin</t>
  </si>
  <si>
    <t>Sample names:</t>
  </si>
  <si>
    <t>QA/QC:</t>
  </si>
  <si>
    <t>4000 4</t>
  </si>
  <si>
    <t>6000 4</t>
  </si>
  <si>
    <t>Surrogates:</t>
  </si>
  <si>
    <t>LC50/EC50 Values Determined by Probit Analysis:</t>
  </si>
  <si>
    <t xml:space="preserve">LC50 </t>
  </si>
  <si>
    <t xml:space="preserve">Comparison to Prior Testing on MS17 Res:  </t>
  </si>
  <si>
    <t>Heim et al. 2018</t>
  </si>
  <si>
    <t xml:space="preserve">Muggelberg et al. 2017 </t>
  </si>
  <si>
    <t>1144 ng/L CI: (942.5-1389)</t>
  </si>
  <si>
    <t>1668 ng/L CI: (1381-2014)</t>
  </si>
  <si>
    <t>(Courtney) Oct. 2016</t>
  </si>
  <si>
    <t>(Haleigh) Jan. 2018</t>
  </si>
  <si>
    <t>1409 ng/L CI: (1260-1577)</t>
  </si>
  <si>
    <t>1120 ng/L CI: (925.8-1357)</t>
  </si>
  <si>
    <t xml:space="preserve">Comparison to Prior Testing on MS13 Res:  </t>
  </si>
  <si>
    <t>SPCK- 0, ng/mL 1</t>
  </si>
  <si>
    <t>SPCK- 0, ng/mL 2</t>
  </si>
  <si>
    <t>SPCK- 0, ng/mL 3</t>
  </si>
  <si>
    <t>SPCK- 4, ng/mL 1</t>
  </si>
  <si>
    <t>SPCK- 4, ng/mL 2</t>
  </si>
  <si>
    <t>SPCK- 4, ng/mL 3</t>
  </si>
  <si>
    <t>Data analyzed with method file: NEWCALCURVEFOR(23MS0.2)LK_EI_PERM_SIM060719.M</t>
  </si>
  <si>
    <t>Blank D0 2 ng/mL</t>
  </si>
  <si>
    <t>Blank D0 3 ng/mL</t>
  </si>
  <si>
    <t>Method: LK_6.26.19.M</t>
  </si>
  <si>
    <t>1209.29 ng/L CI: (1039.38-1406.96)</t>
  </si>
  <si>
    <t>980.15 ng/L CI: (838.28-1146.03)</t>
  </si>
  <si>
    <t>LC50's</t>
  </si>
  <si>
    <t>CI Lower</t>
  </si>
  <si>
    <t>18.0.2</t>
  </si>
  <si>
    <t>CI Upper</t>
  </si>
  <si>
    <t>23,0.2</t>
  </si>
  <si>
    <t>28, 0.2</t>
  </si>
  <si>
    <t>18,6.0</t>
  </si>
  <si>
    <t>2035.53 ng/L CI: (1637.78-2529.88)</t>
  </si>
  <si>
    <t>1518.75 ng/L CI: (1125.57-1897.87)</t>
  </si>
  <si>
    <t>Average % Recovery of Permethrin D0&amp;D4 ng/L:</t>
  </si>
  <si>
    <t>1886.25 ng/L CI: (1523.79-2334.93)</t>
  </si>
  <si>
    <t>23,6.0</t>
  </si>
  <si>
    <t>28,6.0</t>
  </si>
  <si>
    <t>Method: LK_EI_PERM_SIM_07.05.19.M</t>
  </si>
  <si>
    <t>ng/L  Permethrin recovered D0/D4:</t>
  </si>
  <si>
    <t>All files quantified with: LK_EI_PERM_SIM_051519.M</t>
  </si>
  <si>
    <t>Data Re-Run With new Sequence Parameters and IS fenpropathrin/flucythrinate, LK_6.23.19.M</t>
  </si>
  <si>
    <t>500 D0 Dil</t>
  </si>
  <si>
    <t>2000 D0 Dil</t>
  </si>
  <si>
    <t xml:space="preserve">4000 D0 Dil </t>
  </si>
  <si>
    <t>500 D4 Dil</t>
  </si>
  <si>
    <t>2000 D4 Dil</t>
  </si>
  <si>
    <t>500 D0</t>
  </si>
  <si>
    <t>500 D4</t>
  </si>
  <si>
    <t>2000 D0</t>
  </si>
  <si>
    <t>2000 D4</t>
  </si>
  <si>
    <t xml:space="preserve">3000 D0 </t>
  </si>
  <si>
    <t xml:space="preserve">4000 D0 </t>
  </si>
  <si>
    <t>Method 7/30/19</t>
  </si>
  <si>
    <t>LK_EI_PERM_SIM_07.30.19.M</t>
  </si>
  <si>
    <t xml:space="preserve">Re-ran alone, </t>
  </si>
  <si>
    <t>cant quantify permethrin due to contamination**</t>
  </si>
  <si>
    <t>TSK: 1560.1 ng/L 95%CI: (1378-1766)</t>
  </si>
  <si>
    <t xml:space="preserve">500 0 </t>
  </si>
  <si>
    <t>2000 0</t>
  </si>
  <si>
    <t>3000 0</t>
  </si>
  <si>
    <t>500 4</t>
  </si>
  <si>
    <t>2000 4</t>
  </si>
  <si>
    <t>N.D.</t>
  </si>
  <si>
    <t>N.D</t>
  </si>
  <si>
    <t>LK_EI_PERM_SIM_09.13.19.M</t>
  </si>
  <si>
    <t>Method 9/13/19</t>
  </si>
  <si>
    <t>Looks like  I might have put rinse from MSD4 into MSTD4?</t>
  </si>
  <si>
    <t>1187.95 ng/L CI:(996.284-1401.31)</t>
  </si>
  <si>
    <t>Permethrin (%)</t>
  </si>
  <si>
    <t>Method 9/25/19</t>
  </si>
  <si>
    <t>LK_EI_PERM_SIM_09.25.19.M</t>
  </si>
  <si>
    <t>573.99 ng/L TSK 11.3% Trim CI: (485.30-678.90)</t>
  </si>
  <si>
    <t>Below</t>
  </si>
  <si>
    <t>3000 beaker wash placed into 500 eluent</t>
  </si>
  <si>
    <t>LK_EI_PERM_SIM_10.16.19.M</t>
  </si>
  <si>
    <t>Method 10/16/19</t>
  </si>
  <si>
    <t>3000 D4 beaker wash introduced into 500 elution</t>
  </si>
  <si>
    <t xml:space="preserve">3000 beaker wash placed into 500 eluent, no recovery of surrogates, sample thrown out of calculation of LC50 and Ec50 values </t>
  </si>
  <si>
    <t xml:space="preserve">Surrogate recoveries determined from sample run 10/17/19, validation of check standard on run not acceptable, surrogate recovery calculated from dilution samples of initial run </t>
  </si>
  <si>
    <t>Undiluted Samples Were Re-run with calibration standards: Quantified under method 10.24.19.M, third run, revolumed to 1 mL</t>
  </si>
  <si>
    <t>3000 D4 corrected to account for unacceptable DCBP recover</t>
  </si>
  <si>
    <t>LK_EI_PERM_SIM_10.28.19.M</t>
  </si>
  <si>
    <t>Method 11/3/19</t>
  </si>
  <si>
    <t>LK_EI_PERM_SIM_12.04.19.M</t>
  </si>
  <si>
    <t>LK_EI_PERM_SIM_12.28.19.M</t>
  </si>
  <si>
    <t>NR 20 ng/L</t>
  </si>
  <si>
    <t>NR 5 ng/L</t>
  </si>
  <si>
    <t>NR 20</t>
  </si>
  <si>
    <t>882.4 ng/L TSK Auto 5.3% Trim (760.8-1023.3)</t>
  </si>
  <si>
    <t>Analyzed under Tristin's Method to look for Fipronil</t>
  </si>
  <si>
    <t>(LC50) Mosher Slough Resistant '13</t>
  </si>
  <si>
    <t>Salinity (ppt.):</t>
  </si>
  <si>
    <r>
      <t>Temperature (</t>
    </r>
    <r>
      <rPr>
        <sz val="11"/>
        <color theme="1"/>
        <rFont val="Calibri"/>
        <family val="2"/>
      </rPr>
      <t>°C)</t>
    </r>
    <r>
      <rPr>
        <sz val="11"/>
        <color theme="1"/>
        <rFont val="Calibri"/>
        <family val="2"/>
        <scheme val="minor"/>
      </rPr>
      <t>:</t>
    </r>
  </si>
  <si>
    <t>1000 D4 Dil (re-run) w/ batch from 1.0 23C</t>
  </si>
  <si>
    <t>2000 D4 Dil (re-run) w/ batch from 1.0 23C</t>
  </si>
  <si>
    <t>Same samples under new method</t>
  </si>
  <si>
    <t>Significant Difference: MS13-&gt;MS13</t>
  </si>
  <si>
    <r>
      <t xml:space="preserve">A </t>
    </r>
    <r>
      <rPr>
        <sz val="12"/>
        <color theme="1"/>
        <rFont val="Calibri"/>
        <family val="2"/>
        <scheme val="minor"/>
      </rPr>
      <t>(D,H)</t>
    </r>
  </si>
  <si>
    <r>
      <t xml:space="preserve">B </t>
    </r>
    <r>
      <rPr>
        <sz val="12"/>
        <color theme="1"/>
        <rFont val="Calibri"/>
        <family val="2"/>
        <scheme val="minor"/>
      </rPr>
      <t>(C,D,F,G,H)</t>
    </r>
  </si>
  <si>
    <r>
      <t xml:space="preserve">C </t>
    </r>
    <r>
      <rPr>
        <sz val="12"/>
        <color theme="1"/>
        <rFont val="Calibri"/>
        <family val="2"/>
        <scheme val="minor"/>
      </rPr>
      <t>(D,I)</t>
    </r>
  </si>
  <si>
    <r>
      <t xml:space="preserve">D </t>
    </r>
    <r>
      <rPr>
        <sz val="12"/>
        <color theme="1"/>
        <rFont val="Calibri"/>
        <family val="2"/>
        <scheme val="minor"/>
      </rPr>
      <t>(A,B,C,E,F,G,H,I)</t>
    </r>
  </si>
  <si>
    <r>
      <t xml:space="preserve">E </t>
    </r>
    <r>
      <rPr>
        <sz val="12"/>
        <color theme="1"/>
        <rFont val="Calibri"/>
        <family val="2"/>
        <scheme val="minor"/>
      </rPr>
      <t>(D,F,G,H)</t>
    </r>
  </si>
  <si>
    <r>
      <t xml:space="preserve">F </t>
    </r>
    <r>
      <rPr>
        <sz val="12"/>
        <color theme="1"/>
        <rFont val="Calibri"/>
        <family val="2"/>
        <scheme val="minor"/>
      </rPr>
      <t>(B,D,E,H,I)</t>
    </r>
  </si>
  <si>
    <r>
      <t xml:space="preserve">G </t>
    </r>
    <r>
      <rPr>
        <sz val="12"/>
        <color theme="1"/>
        <rFont val="Calibri"/>
        <family val="2"/>
        <scheme val="minor"/>
      </rPr>
      <t>(B,D,E,I)</t>
    </r>
  </si>
  <si>
    <r>
      <t xml:space="preserve">H </t>
    </r>
    <r>
      <rPr>
        <sz val="12"/>
        <color theme="1"/>
        <rFont val="Calibri"/>
        <family val="2"/>
        <scheme val="minor"/>
      </rPr>
      <t>(A,B,D,E,F,I)</t>
    </r>
  </si>
  <si>
    <r>
      <t xml:space="preserve">I </t>
    </r>
    <r>
      <rPr>
        <sz val="12"/>
        <color theme="1"/>
        <rFont val="Calibri"/>
        <family val="2"/>
        <scheme val="minor"/>
      </rPr>
      <t>(C,D,F,G,H)</t>
    </r>
  </si>
  <si>
    <t xml:space="preserve">G </t>
  </si>
  <si>
    <t>Significant Difference: ESC-&gt;ESC</t>
  </si>
  <si>
    <t>LK_EI_PERM_SIM_2.24.20</t>
  </si>
  <si>
    <t>SPCK- 0, ng/mL 4</t>
  </si>
  <si>
    <t>SPCK- 4, ng/mL 4</t>
  </si>
  <si>
    <t>SPCK- , 0ng/mL 4</t>
  </si>
  <si>
    <r>
      <t xml:space="preserve">B </t>
    </r>
    <r>
      <rPr>
        <sz val="12"/>
        <color theme="1"/>
        <rFont val="Calibri"/>
        <family val="2"/>
        <scheme val="minor"/>
      </rPr>
      <t>(E,H,I)</t>
    </r>
  </si>
  <si>
    <r>
      <t xml:space="preserve">D </t>
    </r>
    <r>
      <rPr>
        <sz val="12"/>
        <color theme="1"/>
        <rFont val="Calibri"/>
        <family val="2"/>
        <scheme val="minor"/>
      </rPr>
      <t>(E,H,I)</t>
    </r>
  </si>
  <si>
    <r>
      <t xml:space="preserve">E </t>
    </r>
    <r>
      <rPr>
        <sz val="12"/>
        <color theme="1"/>
        <rFont val="Calibri"/>
        <family val="2"/>
        <scheme val="minor"/>
      </rPr>
      <t>(D,B,F)</t>
    </r>
  </si>
  <si>
    <r>
      <t xml:space="preserve">F </t>
    </r>
    <r>
      <rPr>
        <sz val="12"/>
        <color theme="1"/>
        <rFont val="Calibri"/>
        <family val="2"/>
        <scheme val="minor"/>
      </rPr>
      <t>(E,H,I)</t>
    </r>
  </si>
  <si>
    <r>
      <t xml:space="preserve">H </t>
    </r>
    <r>
      <rPr>
        <sz val="12"/>
        <color theme="1"/>
        <rFont val="Calibri"/>
        <family val="2"/>
        <scheme val="minor"/>
      </rPr>
      <t>(B,D,F)</t>
    </r>
  </si>
  <si>
    <r>
      <t xml:space="preserve">I </t>
    </r>
    <r>
      <rPr>
        <sz val="12"/>
        <color theme="1"/>
        <rFont val="Calibri"/>
        <family val="2"/>
        <scheme val="minor"/>
      </rPr>
      <t>(B,F)</t>
    </r>
  </si>
  <si>
    <t>Blank D4 1 ng/mL</t>
  </si>
  <si>
    <t>LC50 Value Determined by Probit Analysis:</t>
  </si>
  <si>
    <t>1420 ng/L MLP: (1292-1531)</t>
  </si>
  <si>
    <t>(LC50) Escondido Resistant ng/L</t>
  </si>
  <si>
    <r>
      <t xml:space="preserve">882.4 ng/L (760.8-1023) </t>
    </r>
    <r>
      <rPr>
        <sz val="16"/>
        <color rgb="FFFF0000"/>
        <rFont val="Calibri"/>
        <family val="2"/>
        <scheme val="minor"/>
      </rPr>
      <t>TSK</t>
    </r>
  </si>
  <si>
    <r>
      <t xml:space="preserve">1188 ng/L (996-1401) </t>
    </r>
    <r>
      <rPr>
        <sz val="16"/>
        <color rgb="FFFF0000"/>
        <rFont val="Calibri"/>
        <family val="2"/>
        <scheme val="minor"/>
      </rPr>
      <t>MLP</t>
    </r>
  </si>
  <si>
    <r>
      <t xml:space="preserve">1497 ng/L (1375-1810) </t>
    </r>
    <r>
      <rPr>
        <sz val="16"/>
        <color rgb="FFFF0000"/>
        <rFont val="Calibri"/>
        <family val="2"/>
        <scheme val="minor"/>
      </rPr>
      <t>MLP</t>
    </r>
  </si>
  <si>
    <r>
      <t xml:space="preserve">1505 ng/L (1184-1859) </t>
    </r>
    <r>
      <rPr>
        <sz val="16"/>
        <color rgb="FFFF0000"/>
        <rFont val="Calibri"/>
        <family val="2"/>
        <scheme val="minor"/>
      </rPr>
      <t>MLP</t>
    </r>
  </si>
  <si>
    <r>
      <t xml:space="preserve">1420 ng/L (1292-1531) </t>
    </r>
    <r>
      <rPr>
        <sz val="14"/>
        <color rgb="FFFF0000"/>
        <rFont val="Calibri"/>
        <family val="2"/>
        <scheme val="minor"/>
      </rPr>
      <t>MLP</t>
    </r>
  </si>
  <si>
    <r>
      <t xml:space="preserve">573.9 ng/L (485.3-678.9) </t>
    </r>
    <r>
      <rPr>
        <sz val="16"/>
        <color rgb="FFFF0000"/>
        <rFont val="Calibri"/>
        <family val="2"/>
        <scheme val="minor"/>
      </rPr>
      <t>TSK</t>
    </r>
  </si>
  <si>
    <r>
      <t xml:space="preserve">980.8 (827.8-1186) </t>
    </r>
    <r>
      <rPr>
        <sz val="16"/>
        <color rgb="FFFF0000"/>
        <rFont val="Calibri"/>
        <family val="2"/>
        <scheme val="minor"/>
      </rPr>
      <t>MLP</t>
    </r>
  </si>
  <si>
    <t>]</t>
  </si>
  <si>
    <t>LK_EI_PERM_SIM_5.25.20.M</t>
  </si>
  <si>
    <t>NR TEST</t>
  </si>
  <si>
    <t>Blank NR ng/mL</t>
  </si>
  <si>
    <t xml:space="preserve">500 D4 Dil </t>
  </si>
  <si>
    <t>10 ng/L</t>
  </si>
  <si>
    <t>20 ng/L</t>
  </si>
  <si>
    <t xml:space="preserve">NR 10 </t>
  </si>
  <si>
    <r>
      <t xml:space="preserve">1560 ng/L (1378-1766) </t>
    </r>
    <r>
      <rPr>
        <sz val="16"/>
        <color rgb="FFFF0000"/>
        <rFont val="Calibri"/>
        <family val="2"/>
        <scheme val="minor"/>
      </rPr>
      <t>TSK</t>
    </r>
  </si>
  <si>
    <r>
      <t xml:space="preserve">1309 ng/L (1089-1582) </t>
    </r>
    <r>
      <rPr>
        <sz val="16"/>
        <color rgb="FFFF0000"/>
        <rFont val="Calibri"/>
        <family val="2"/>
        <scheme val="minor"/>
      </rPr>
      <t>MLP</t>
    </r>
  </si>
  <si>
    <r>
      <t xml:space="preserve">1358 ng/L (1212-1521) </t>
    </r>
    <r>
      <rPr>
        <sz val="16"/>
        <color rgb="FFFF0000"/>
        <rFont val="Calibri"/>
        <family val="2"/>
        <scheme val="minor"/>
      </rPr>
      <t>TSK</t>
    </r>
  </si>
  <si>
    <r>
      <t xml:space="preserve">907.5 ng/L (748.1-1094) </t>
    </r>
    <r>
      <rPr>
        <sz val="16"/>
        <color rgb="FFFF0000"/>
        <rFont val="Calibri"/>
        <family val="2"/>
        <scheme val="minor"/>
      </rPr>
      <t>MLP</t>
    </r>
  </si>
  <si>
    <r>
      <t xml:space="preserve">962.9 ng/L (794.1-1127) </t>
    </r>
    <r>
      <rPr>
        <sz val="16"/>
        <color rgb="FFFF0000"/>
        <rFont val="Calibri"/>
        <family val="2"/>
        <scheme val="minor"/>
      </rPr>
      <t>MLP</t>
    </r>
  </si>
  <si>
    <r>
      <t xml:space="preserve">1519 ng/L (1126-1898) </t>
    </r>
    <r>
      <rPr>
        <sz val="16"/>
        <color rgb="FFFF0000"/>
        <rFont val="Calibri"/>
        <family val="2"/>
        <scheme val="minor"/>
      </rPr>
      <t>MLP</t>
    </r>
  </si>
  <si>
    <r>
      <t>2036 ng/L (1638-2530)</t>
    </r>
    <r>
      <rPr>
        <sz val="16"/>
        <color rgb="FFFF0000"/>
        <rFont val="Calibri"/>
        <family val="2"/>
        <scheme val="minor"/>
      </rPr>
      <t xml:space="preserve"> MLP</t>
    </r>
  </si>
  <si>
    <r>
      <t xml:space="preserve">1209 ng/L (1040-1407) </t>
    </r>
    <r>
      <rPr>
        <sz val="16"/>
        <color rgb="FFFF0000"/>
        <rFont val="Calibri"/>
        <family val="2"/>
        <scheme val="minor"/>
      </rPr>
      <t>MLP</t>
    </r>
  </si>
  <si>
    <r>
      <t xml:space="preserve">980.2 ng/L (838.3-1146) </t>
    </r>
    <r>
      <rPr>
        <sz val="16"/>
        <color rgb="FFFF0000"/>
        <rFont val="Calibri"/>
        <family val="2"/>
        <scheme val="minor"/>
      </rPr>
      <t>MLP</t>
    </r>
  </si>
  <si>
    <r>
      <t xml:space="preserve">1886 ng/L (1524-2335) </t>
    </r>
    <r>
      <rPr>
        <sz val="16"/>
        <color rgb="FFFF0000"/>
        <rFont val="Calibri"/>
        <family val="2"/>
        <scheme val="minor"/>
      </rPr>
      <t>MLP</t>
    </r>
  </si>
  <si>
    <r>
      <t xml:space="preserve">863.6 (712.5-1055)      </t>
    </r>
    <r>
      <rPr>
        <sz val="16"/>
        <color rgb="FFFF0000"/>
        <rFont val="Calibri"/>
        <family val="2"/>
        <scheme val="minor"/>
      </rPr>
      <t>MLP</t>
    </r>
  </si>
  <si>
    <r>
      <t xml:space="preserve">A </t>
    </r>
    <r>
      <rPr>
        <sz val="12"/>
        <color theme="1"/>
        <rFont val="Calibri"/>
        <family val="2"/>
        <scheme val="minor"/>
      </rPr>
      <t>(E,H,I)</t>
    </r>
  </si>
  <si>
    <r>
      <t xml:space="preserve">C </t>
    </r>
    <r>
      <rPr>
        <sz val="12"/>
        <color theme="1"/>
        <rFont val="Calibri"/>
        <family val="2"/>
        <scheme val="minor"/>
      </rPr>
      <t>(E, F, H, I)</t>
    </r>
  </si>
  <si>
    <t>10 D4</t>
  </si>
  <si>
    <t>20 D4</t>
  </si>
  <si>
    <t>40 D4</t>
  </si>
  <si>
    <t>60 D0</t>
  </si>
  <si>
    <t>60 D4</t>
  </si>
  <si>
    <t>80 D4</t>
  </si>
  <si>
    <t>10 D0</t>
  </si>
  <si>
    <t>20 D0</t>
  </si>
  <si>
    <t>40 D0</t>
  </si>
  <si>
    <t>80 D0</t>
  </si>
  <si>
    <t>Blank D4  ng/mL</t>
  </si>
  <si>
    <t>33.8 ng/L (MLP CI: 26.3-42.1)</t>
  </si>
  <si>
    <t>Comparison to Prior Testing on NR:</t>
  </si>
  <si>
    <t>(LC50) Non-Resistant</t>
  </si>
  <si>
    <r>
      <t xml:space="preserve">33.8 ng/L (26.2-42.1) </t>
    </r>
    <r>
      <rPr>
        <sz val="16"/>
        <color rgb="FFFF0000"/>
        <rFont val="Calibri"/>
        <family val="2"/>
        <scheme val="minor"/>
      </rPr>
      <t>MLP</t>
    </r>
  </si>
  <si>
    <t>Heim: 34.59 ng/L, 31.22 ng/L</t>
  </si>
  <si>
    <t>Harwood: 31.2 ng/L</t>
  </si>
  <si>
    <r>
      <t xml:space="preserve">27.5 ng/L (22.3-31.0) </t>
    </r>
    <r>
      <rPr>
        <sz val="16"/>
        <color rgb="FFFF0000"/>
        <rFont val="Calibri"/>
        <family val="2"/>
        <scheme val="minor"/>
      </rPr>
      <t>MLP</t>
    </r>
  </si>
  <si>
    <r>
      <t xml:space="preserve">14.2 ng/L (11.3-16.6) </t>
    </r>
    <r>
      <rPr>
        <sz val="16"/>
        <color rgb="FFFF0000"/>
        <rFont val="Calibri"/>
        <family val="2"/>
        <scheme val="minor"/>
      </rPr>
      <t>MLP</t>
    </r>
  </si>
  <si>
    <t>average D0, ng/mL</t>
  </si>
  <si>
    <t>average D4, ng/mL</t>
  </si>
  <si>
    <t>LK_EI_PERM_SIM_8.31.20.m</t>
  </si>
  <si>
    <t>E</t>
  </si>
  <si>
    <t>M</t>
  </si>
  <si>
    <t>0.2, 18</t>
  </si>
  <si>
    <t>0.2, 23</t>
  </si>
  <si>
    <t>0.2, 28</t>
  </si>
  <si>
    <t>1.0, 18</t>
  </si>
  <si>
    <t>1.0, 28</t>
  </si>
  <si>
    <t>1.0, 23</t>
  </si>
  <si>
    <t>6.0, 18</t>
  </si>
  <si>
    <t>6.0, 23</t>
  </si>
  <si>
    <t>6.0, 28</t>
  </si>
  <si>
    <t>LC50</t>
  </si>
  <si>
    <t>E (CI Lower)</t>
  </si>
  <si>
    <t>E (CI Upper)</t>
  </si>
  <si>
    <t>M (CI Lower)</t>
  </si>
  <si>
    <t>M (CI Upper)</t>
  </si>
  <si>
    <t>W (CI Lower)</t>
  </si>
  <si>
    <t>W (CI Upper)</t>
  </si>
  <si>
    <t xml:space="preserve">W </t>
  </si>
  <si>
    <t>N/A</t>
  </si>
  <si>
    <t>*</t>
  </si>
  <si>
    <t>Author:</t>
  </si>
  <si>
    <t>Description:</t>
  </si>
  <si>
    <t>Date Created:</t>
  </si>
  <si>
    <t>File Format:</t>
  </si>
  <si>
    <t>Excel (.xlsx)</t>
  </si>
  <si>
    <t>Geographic Coverage:</t>
  </si>
  <si>
    <t>Scientific names:</t>
  </si>
  <si>
    <t>Hyalella azteca</t>
  </si>
  <si>
    <t>Keywords:</t>
  </si>
  <si>
    <t>Related Content:</t>
  </si>
  <si>
    <t>Thesis Title:</t>
  </si>
  <si>
    <r>
      <t xml:space="preserve">permethrin, genetic resistance, temperature, </t>
    </r>
    <r>
      <rPr>
        <i/>
        <sz val="11"/>
        <color theme="1"/>
        <rFont val="Calibri"/>
        <family val="2"/>
        <scheme val="minor"/>
      </rPr>
      <t xml:space="preserve">Hyalella azteca, </t>
    </r>
    <r>
      <rPr>
        <sz val="11"/>
        <color theme="1"/>
        <rFont val="Calibri"/>
        <family val="2"/>
        <scheme val="minor"/>
      </rPr>
      <t>salinity, toxicity</t>
    </r>
  </si>
  <si>
    <t>ND = not determined, test unable to be completed</t>
  </si>
  <si>
    <t>LC and EC50 values</t>
  </si>
  <si>
    <t>LC50 Comparison Report CAF</t>
  </si>
  <si>
    <t>Report MS13 0.2 18C</t>
  </si>
  <si>
    <t>Data analysis MS13 0.2 18C</t>
  </si>
  <si>
    <t>Report MS13 0.2 23C</t>
  </si>
  <si>
    <t>Data analysis MS13 0.2 23C</t>
  </si>
  <si>
    <t xml:space="preserve">Report MS13 0.2 28C </t>
  </si>
  <si>
    <t xml:space="preserve">Data analysis MS13 0.2 28C </t>
  </si>
  <si>
    <t>Report MS13 1.0 18C</t>
  </si>
  <si>
    <t>Data analysis MS13 1.0 18C</t>
  </si>
  <si>
    <t>Report MS13 1.0 23C</t>
  </si>
  <si>
    <t>Data analysis MS13 1.0 23C</t>
  </si>
  <si>
    <t>Report MS13 1.0 28C</t>
  </si>
  <si>
    <t>Data analysis MS13 1.0 28C</t>
  </si>
  <si>
    <t>Report MS13 6.0 18C</t>
  </si>
  <si>
    <t>Data analysis MS13 6.0 18C</t>
  </si>
  <si>
    <t>Report MS13 6.0 23C</t>
  </si>
  <si>
    <t>Data analysis MS13 6.0 23C</t>
  </si>
  <si>
    <t>Report MS13 6.0 28C</t>
  </si>
  <si>
    <t>Data analysis MS13 6.0 28C</t>
  </si>
  <si>
    <t xml:space="preserve">Report for ESC 0.2 18C </t>
  </si>
  <si>
    <t>Data analysis ESC 0.2 18C</t>
  </si>
  <si>
    <t xml:space="preserve">Report for ESC 0.2 23C </t>
  </si>
  <si>
    <t xml:space="preserve">Report for ESC 0.2 28C </t>
  </si>
  <si>
    <t>Data analysis ESC 0.2 28C</t>
  </si>
  <si>
    <t>Data analysis ESC 0.2 23C</t>
  </si>
  <si>
    <t xml:space="preserve">Report for ESC 1.0 18C </t>
  </si>
  <si>
    <t xml:space="preserve">Data analysis ESC 1.0 18C </t>
  </si>
  <si>
    <t xml:space="preserve">Report for ESC 1.0 23C </t>
  </si>
  <si>
    <t xml:space="preserve">Data analysis ESC 1.0 23C </t>
  </si>
  <si>
    <t>Report for ESC 1.0 28C</t>
  </si>
  <si>
    <t>Data analysis ESC 1.0 28C</t>
  </si>
  <si>
    <t>Report for ESC 6.0 18C</t>
  </si>
  <si>
    <t>Data analysis ESC 6.0 18C</t>
  </si>
  <si>
    <t>Report for ESC 6.0 23C</t>
  </si>
  <si>
    <t>Data analysis ESC 6.0 23C</t>
  </si>
  <si>
    <t>Report for ESC 6.0 28C</t>
  </si>
  <si>
    <t>Data analysis ESC 6.0 28C</t>
  </si>
  <si>
    <t>Report for NR 6.0 18C</t>
  </si>
  <si>
    <t>Data analysis NR 6.0 18C</t>
  </si>
  <si>
    <t>Report for NR 6.0 23C</t>
  </si>
  <si>
    <t>Data analysis NR 6.0 23C</t>
  </si>
  <si>
    <t>Report for NR 6.0 28C</t>
  </si>
  <si>
    <t>Data analysis NR 6.02 8C</t>
  </si>
  <si>
    <t>980.8 (827.8-1186) ng/L MLP</t>
  </si>
  <si>
    <t>863.6 ng/L (712.5-1022)</t>
  </si>
  <si>
    <t>Day 4</t>
  </si>
  <si>
    <t>Day 1</t>
  </si>
  <si>
    <t>1358 ng/L (1212-1521) TSK</t>
  </si>
  <si>
    <t>1309 ng/L (1089-1582) MLP</t>
  </si>
  <si>
    <t>1505 ng/L (1184-1859) MLP</t>
  </si>
  <si>
    <t>907.5 ng/L (748.1-1094) MLP</t>
  </si>
  <si>
    <t>1497 ng/L (1375-1810) MLP</t>
  </si>
  <si>
    <t>962.9 ng/L (748.1-1094) MLP</t>
  </si>
  <si>
    <t>14.2 ng/L (11.3-16.6) MLP</t>
  </si>
  <si>
    <t xml:space="preserve">27.5 ng/L (22.3-31.0) </t>
  </si>
  <si>
    <r>
      <t xml:space="preserve">The effects of salinity and temperature on toxicity of permethrin to pyrethroid-resistant and wild type </t>
    </r>
    <r>
      <rPr>
        <i/>
        <sz val="11"/>
        <color theme="1"/>
        <rFont val="Calibri"/>
        <family val="2"/>
        <scheme val="minor"/>
      </rPr>
      <t>Hyalella azteca</t>
    </r>
  </si>
  <si>
    <t>Published thesis</t>
  </si>
  <si>
    <t>na (lab study)</t>
  </si>
  <si>
    <t>Logan Kent and Michael Lydy</t>
  </si>
  <si>
    <t>A series of 96-h acute toxicity tests were conducted exposing Hyalella to a concentration range of permethrin at different temperatures (18, 23 and 28 °C) and salinities (0.2, 1.0, and 6.0 practical salinity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</si>
</sst>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6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F89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8" fillId="0" borderId="0" applyProtection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1" fillId="0" borderId="0" xfId="2"/>
    <xf numFmtId="9" fontId="0" fillId="0" borderId="0" xfId="3" applyFont="1"/>
    <xf numFmtId="11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3" applyNumberFormat="1" applyFont="1"/>
    <xf numFmtId="164" fontId="0" fillId="0" borderId="0" xfId="0" applyNumberFormat="1"/>
    <xf numFmtId="9" fontId="1" fillId="0" borderId="0" xfId="3" applyFont="1"/>
    <xf numFmtId="0" fontId="16" fillId="0" borderId="0" xfId="2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/>
    <xf numFmtId="0" fontId="1" fillId="0" borderId="10" xfId="2" applyBorder="1"/>
    <xf numFmtId="0" fontId="0" fillId="0" borderId="0" xfId="0" applyFill="1"/>
    <xf numFmtId="0" fontId="1" fillId="0" borderId="0" xfId="2" applyFill="1"/>
    <xf numFmtId="0" fontId="0" fillId="0" borderId="0" xfId="0" applyFill="1" applyBorder="1"/>
    <xf numFmtId="0" fontId="0" fillId="0" borderId="0" xfId="3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2" applyFill="1" applyBorder="1"/>
    <xf numFmtId="9" fontId="1" fillId="0" borderId="0" xfId="3" applyFont="1" applyFill="1" applyBorder="1"/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9" fillId="0" borderId="0" xfId="12" applyNumberFormat="1" applyFill="1" applyBorder="1"/>
    <xf numFmtId="0" fontId="0" fillId="18" borderId="10" xfId="31" applyFont="1" applyBorder="1" applyAlignment="1">
      <alignment wrapText="1"/>
    </xf>
    <xf numFmtId="0" fontId="0" fillId="0" borderId="10" xfId="0" applyBorder="1" applyAlignment="1">
      <alignment wrapText="1"/>
    </xf>
    <xf numFmtId="0" fontId="0" fillId="18" borderId="10" xfId="31" applyFont="1" applyBorder="1"/>
    <xf numFmtId="0" fontId="0" fillId="33" borderId="10" xfId="0" applyFill="1" applyBorder="1" applyAlignment="1">
      <alignment wrapText="1"/>
    </xf>
    <xf numFmtId="0" fontId="1" fillId="0" borderId="10" xfId="3" applyNumberFormat="1" applyFont="1" applyBorder="1"/>
    <xf numFmtId="9" fontId="9" fillId="4" borderId="10" xfId="12" applyNumberFormat="1" applyBorder="1"/>
    <xf numFmtId="9" fontId="3" fillId="2" borderId="10" xfId="4" applyNumberFormat="1" applyBorder="1"/>
    <xf numFmtId="165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9" fontId="9" fillId="0" borderId="10" xfId="12" applyNumberFormat="1" applyFill="1" applyBorder="1"/>
    <xf numFmtId="9" fontId="3" fillId="0" borderId="10" xfId="4" applyNumberFormat="1" applyFill="1" applyBorder="1"/>
    <xf numFmtId="0" fontId="0" fillId="0" borderId="0" xfId="0" applyBorder="1"/>
    <xf numFmtId="0" fontId="1" fillId="0" borderId="0" xfId="2" applyBorder="1"/>
    <xf numFmtId="0" fontId="2" fillId="0" borderId="0" xfId="31" applyFill="1" applyBorder="1"/>
    <xf numFmtId="9" fontId="3" fillId="0" borderId="0" xfId="4" applyNumberFormat="1" applyFill="1" applyBorder="1"/>
    <xf numFmtId="0" fontId="0" fillId="0" borderId="10" xfId="31" applyFont="1" applyFill="1" applyBorder="1" applyAlignment="1">
      <alignment wrapText="1"/>
    </xf>
    <xf numFmtId="165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9" fontId="0" fillId="0" borderId="0" xfId="3" applyFont="1" applyFill="1"/>
    <xf numFmtId="0" fontId="1" fillId="0" borderId="0" xfId="3" applyNumberFormat="1" applyFont="1" applyFill="1" applyBorder="1"/>
    <xf numFmtId="1" fontId="0" fillId="0" borderId="0" xfId="3" applyNumberFormat="1" applyFont="1" applyFill="1" applyBorder="1" applyAlignment="1">
      <alignment horizontal="center"/>
    </xf>
    <xf numFmtId="9" fontId="0" fillId="0" borderId="0" xfId="3" applyFont="1" applyFill="1" applyBorder="1"/>
    <xf numFmtId="164" fontId="0" fillId="0" borderId="0" xfId="0" applyNumberFormat="1" applyFill="1" applyBorder="1"/>
    <xf numFmtId="9" fontId="0" fillId="0" borderId="0" xfId="0" applyNumberFormat="1" applyFill="1" applyBorder="1"/>
    <xf numFmtId="9" fontId="0" fillId="0" borderId="0" xfId="0" applyNumberFormat="1" applyAlignment="1">
      <alignment horizontal="right"/>
    </xf>
    <xf numFmtId="9" fontId="0" fillId="0" borderId="0" xfId="3" applyFont="1" applyBorder="1"/>
    <xf numFmtId="0" fontId="19" fillId="18" borderId="10" xfId="31" applyFont="1" applyBorder="1" applyAlignment="1">
      <alignment wrapText="1"/>
    </xf>
    <xf numFmtId="0" fontId="19" fillId="33" borderId="10" xfId="0" applyFont="1" applyFill="1" applyBorder="1" applyAlignment="1">
      <alignment wrapText="1"/>
    </xf>
    <xf numFmtId="0" fontId="19" fillId="0" borderId="10" xfId="0" applyFont="1" applyBorder="1"/>
    <xf numFmtId="0" fontId="20" fillId="0" borderId="10" xfId="2" applyFont="1" applyBorder="1"/>
    <xf numFmtId="9" fontId="21" fillId="2" borderId="10" xfId="4" applyNumberFormat="1" applyFont="1" applyBorder="1"/>
    <xf numFmtId="0" fontId="19" fillId="18" borderId="10" xfId="31" applyFont="1" applyBorder="1"/>
    <xf numFmtId="0" fontId="22" fillId="0" borderId="10" xfId="2" applyFont="1" applyBorder="1"/>
    <xf numFmtId="0" fontId="2" fillId="0" borderId="0" xfId="31" applyFill="1" applyBorder="1" applyAlignment="1">
      <alignment wrapText="1"/>
    </xf>
    <xf numFmtId="0" fontId="9" fillId="0" borderId="0" xfId="12" applyFill="1" applyBorder="1"/>
    <xf numFmtId="0" fontId="0" fillId="33" borderId="11" xfId="0" applyFill="1" applyBorder="1" applyAlignment="1">
      <alignment horizontal="center"/>
    </xf>
    <xf numFmtId="0" fontId="0" fillId="0" borderId="0" xfId="31" applyFont="1" applyFill="1" applyBorder="1"/>
    <xf numFmtId="9" fontId="9" fillId="0" borderId="12" xfId="12" applyNumberFormat="1" applyFill="1" applyBorder="1"/>
    <xf numFmtId="9" fontId="3" fillId="0" borderId="12" xfId="4" applyNumberFormat="1" applyFill="1" applyBorder="1"/>
    <xf numFmtId="0" fontId="2" fillId="0" borderId="0" xfId="27" applyFill="1" applyBorder="1" applyAlignment="1">
      <alignment wrapText="1"/>
    </xf>
    <xf numFmtId="0" fontId="0" fillId="0" borderId="0" xfId="27" applyFont="1" applyFill="1" applyBorder="1"/>
    <xf numFmtId="0" fontId="0" fillId="0" borderId="0" xfId="27" applyFont="1" applyFill="1" applyBorder="1" applyAlignment="1">
      <alignment wrapText="1"/>
    </xf>
    <xf numFmtId="165" fontId="2" fillId="0" borderId="0" xfId="27" applyNumberFormat="1" applyFill="1" applyBorder="1" applyAlignment="1">
      <alignment horizontal="center"/>
    </xf>
    <xf numFmtId="0" fontId="2" fillId="0" borderId="0" xfId="27" applyFill="1" applyBorder="1" applyAlignment="1">
      <alignment horizontal="center"/>
    </xf>
    <xf numFmtId="0" fontId="0" fillId="0" borderId="10" xfId="0" applyFill="1" applyBorder="1" applyAlignment="1">
      <alignment wrapText="1"/>
    </xf>
    <xf numFmtId="9" fontId="3" fillId="2" borderId="10" xfId="4" applyNumberFormat="1" applyBorder="1" applyAlignment="1">
      <alignment horizontal="center"/>
    </xf>
    <xf numFmtId="9" fontId="4" fillId="3" borderId="10" xfId="6" applyNumberFormat="1" applyBorder="1" applyAlignment="1">
      <alignment horizontal="center"/>
    </xf>
    <xf numFmtId="0" fontId="0" fillId="0" borderId="10" xfId="0" applyFill="1" applyBorder="1"/>
    <xf numFmtId="9" fontId="3" fillId="2" borderId="11" xfId="4" applyNumberFormat="1" applyBorder="1"/>
    <xf numFmtId="9" fontId="3" fillId="0" borderId="0" xfId="4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10" borderId="10" xfId="23" applyBorder="1" applyAlignment="1">
      <alignment vertical="center" wrapText="1"/>
    </xf>
    <xf numFmtId="0" fontId="2" fillId="18" borderId="10" xfId="31" applyBorder="1" applyAlignment="1">
      <alignment vertical="center" wrapText="1"/>
    </xf>
    <xf numFmtId="0" fontId="18" fillId="12" borderId="10" xfId="25" applyBorder="1" applyAlignment="1">
      <alignment vertical="center" wrapText="1"/>
    </xf>
    <xf numFmtId="0" fontId="18" fillId="20" borderId="10" xfId="33" applyBorder="1" applyAlignment="1">
      <alignment vertical="center" wrapText="1"/>
    </xf>
    <xf numFmtId="0" fontId="18" fillId="0" borderId="10" xfId="33" applyFill="1" applyBorder="1" applyAlignment="1">
      <alignment vertical="center" wrapText="1"/>
    </xf>
    <xf numFmtId="0" fontId="2" fillId="0" borderId="10" xfId="23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9" fontId="2" fillId="18" borderId="10" xfId="31" applyNumberFormat="1" applyBorder="1" applyAlignment="1">
      <alignment vertical="center" wrapText="1"/>
    </xf>
    <xf numFmtId="0" fontId="2" fillId="0" borderId="0" xfId="3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9" fontId="2" fillId="0" borderId="0" xfId="31" applyNumberFormat="1" applyFill="1" applyBorder="1" applyAlignment="1">
      <alignment vertical="center" wrapText="1"/>
    </xf>
    <xf numFmtId="9" fontId="2" fillId="18" borderId="10" xfId="31" applyNumberFormat="1" applyBorder="1"/>
    <xf numFmtId="9" fontId="2" fillId="10" borderId="0" xfId="23" applyNumberFormat="1" applyFont="1" applyAlignment="1">
      <alignment horizontal="center" wrapText="1"/>
    </xf>
    <xf numFmtId="9" fontId="2" fillId="10" borderId="10" xfId="23" applyNumberFormat="1" applyFont="1" applyBorder="1" applyAlignment="1">
      <alignment horizontal="center" vertical="center" wrapText="1"/>
    </xf>
    <xf numFmtId="10" fontId="2" fillId="10" borderId="10" xfId="23" applyNumberFormat="1" applyFont="1" applyBorder="1" applyAlignment="1">
      <alignment vertical="center" wrapText="1"/>
    </xf>
    <xf numFmtId="9" fontId="2" fillId="10" borderId="10" xfId="23" applyNumberFormat="1" applyFont="1" applyBorder="1" applyAlignment="1">
      <alignment vertical="center" wrapText="1"/>
    </xf>
    <xf numFmtId="9" fontId="2" fillId="18" borderId="10" xfId="31" applyNumberFormat="1" applyFont="1" applyBorder="1" applyAlignment="1">
      <alignment vertical="center" wrapText="1"/>
    </xf>
    <xf numFmtId="0" fontId="18" fillId="0" borderId="0" xfId="33" applyFill="1" applyBorder="1" applyAlignment="1">
      <alignment vertical="center" wrapText="1"/>
    </xf>
    <xf numFmtId="0" fontId="18" fillId="12" borderId="13" xfId="25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9" fontId="4" fillId="3" borderId="10" xfId="6" applyNumberFormat="1" applyBorder="1"/>
    <xf numFmtId="9" fontId="9" fillId="4" borderId="10" xfId="12" applyNumberFormat="1" applyBorder="1" applyAlignment="1">
      <alignment horizontal="center"/>
    </xf>
    <xf numFmtId="9" fontId="9" fillId="4" borderId="11" xfId="12" applyNumberFormat="1" applyBorder="1"/>
    <xf numFmtId="0" fontId="0" fillId="0" borderId="14" xfId="0" applyBorder="1"/>
    <xf numFmtId="14" fontId="0" fillId="0" borderId="0" xfId="0" applyNumberFormat="1"/>
    <xf numFmtId="2" fontId="3" fillId="2" borderId="10" xfId="4" applyNumberFormat="1" applyBorder="1"/>
    <xf numFmtId="0" fontId="0" fillId="34" borderId="10" xfId="0" applyFill="1" applyBorder="1"/>
    <xf numFmtId="0" fontId="25" fillId="0" borderId="10" xfId="33" applyFont="1" applyFill="1" applyBorder="1" applyAlignment="1">
      <alignment vertical="center" wrapText="1"/>
    </xf>
    <xf numFmtId="9" fontId="2" fillId="18" borderId="11" xfId="31" applyNumberFormat="1" applyBorder="1" applyAlignment="1">
      <alignment vertical="center" wrapText="1"/>
    </xf>
    <xf numFmtId="9" fontId="2" fillId="18" borderId="11" xfId="31" applyNumberFormat="1" applyBorder="1"/>
    <xf numFmtId="0" fontId="25" fillId="0" borderId="0" xfId="3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35" borderId="0" xfId="0" applyFill="1"/>
    <xf numFmtId="0" fontId="0" fillId="18" borderId="10" xfId="31" applyFont="1" applyBorder="1" applyAlignment="1">
      <alignment vertical="center" wrapText="1"/>
    </xf>
    <xf numFmtId="0" fontId="0" fillId="18" borderId="18" xfId="31" applyFont="1" applyBorder="1" applyAlignment="1">
      <alignment wrapText="1"/>
    </xf>
    <xf numFmtId="0" fontId="0" fillId="0" borderId="18" xfId="0" applyBorder="1"/>
    <xf numFmtId="165" fontId="0" fillId="33" borderId="18" xfId="0" applyNumberFormat="1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18" fillId="38" borderId="13" xfId="25" applyFill="1" applyBorder="1" applyAlignment="1">
      <alignment vertical="center" wrapText="1"/>
    </xf>
    <xf numFmtId="0" fontId="18" fillId="38" borderId="10" xfId="25" applyFill="1" applyBorder="1" applyAlignment="1">
      <alignment vertical="center" wrapText="1"/>
    </xf>
    <xf numFmtId="0" fontId="2" fillId="39" borderId="10" xfId="23" applyFill="1" applyBorder="1" applyAlignment="1">
      <alignment vertical="center" wrapText="1"/>
    </xf>
    <xf numFmtId="9" fontId="2" fillId="39" borderId="10" xfId="23" applyNumberFormat="1" applyFont="1" applyFill="1" applyBorder="1" applyAlignment="1">
      <alignment horizontal="center" vertical="center" wrapText="1"/>
    </xf>
    <xf numFmtId="0" fontId="0" fillId="39" borderId="0" xfId="0" applyFill="1"/>
    <xf numFmtId="10" fontId="2" fillId="39" borderId="10" xfId="23" applyNumberFormat="1" applyFont="1" applyFill="1" applyBorder="1" applyAlignment="1">
      <alignment vertical="center" wrapText="1"/>
    </xf>
    <xf numFmtId="9" fontId="2" fillId="39" borderId="10" xfId="3" applyFont="1" applyFill="1" applyBorder="1" applyAlignment="1">
      <alignment vertical="center" wrapText="1"/>
    </xf>
    <xf numFmtId="9" fontId="2" fillId="39" borderId="10" xfId="23" applyNumberFormat="1" applyFont="1" applyFill="1" applyBorder="1" applyAlignment="1">
      <alignment vertical="center" wrapText="1"/>
    </xf>
    <xf numFmtId="0" fontId="18" fillId="38" borderId="10" xfId="33" applyFill="1" applyBorder="1" applyAlignment="1">
      <alignment vertical="center" wrapText="1"/>
    </xf>
    <xf numFmtId="0" fontId="0" fillId="40" borderId="10" xfId="31" applyFont="1" applyFill="1" applyBorder="1" applyAlignment="1">
      <alignment vertical="center" wrapText="1"/>
    </xf>
    <xf numFmtId="9" fontId="2" fillId="40" borderId="10" xfId="31" applyNumberFormat="1" applyFont="1" applyFill="1" applyBorder="1" applyAlignment="1">
      <alignment vertical="center" wrapText="1"/>
    </xf>
    <xf numFmtId="2" fontId="2" fillId="40" borderId="10" xfId="31" applyNumberFormat="1" applyFill="1" applyBorder="1" applyAlignment="1">
      <alignment vertical="center" wrapText="1"/>
    </xf>
    <xf numFmtId="2" fontId="0" fillId="40" borderId="10" xfId="31" applyNumberFormat="1" applyFont="1" applyFill="1" applyBorder="1" applyAlignment="1">
      <alignment vertical="center" wrapText="1"/>
    </xf>
    <xf numFmtId="2" fontId="2" fillId="40" borderId="10" xfId="31" applyNumberFormat="1" applyFill="1" applyBorder="1"/>
    <xf numFmtId="0" fontId="23" fillId="0" borderId="10" xfId="0" applyFont="1" applyBorder="1" applyAlignment="1">
      <alignment horizontal="center" wrapText="1"/>
    </xf>
    <xf numFmtId="0" fontId="3" fillId="0" borderId="10" xfId="4" applyFill="1" applyBorder="1"/>
    <xf numFmtId="2" fontId="2" fillId="0" borderId="10" xfId="12" applyNumberFormat="1" applyFont="1" applyFill="1" applyBorder="1"/>
    <xf numFmtId="2" fontId="2" fillId="0" borderId="10" xfId="4" applyNumberFormat="1" applyFont="1" applyFill="1" applyBorder="1"/>
    <xf numFmtId="9" fontId="0" fillId="0" borderId="0" xfId="0" applyNumberFormat="1"/>
    <xf numFmtId="9" fontId="4" fillId="0" borderId="0" xfId="6" applyNumberFormat="1" applyFill="1" applyBorder="1"/>
    <xf numFmtId="0" fontId="0" fillId="0" borderId="10" xfId="4" applyFont="1" applyFill="1" applyBorder="1"/>
    <xf numFmtId="0" fontId="2" fillId="18" borderId="10" xfId="31" applyBorder="1"/>
    <xf numFmtId="0" fontId="2" fillId="0" borderId="10" xfId="12" applyFont="1" applyFill="1" applyBorder="1"/>
    <xf numFmtId="0" fontId="2" fillId="0" borderId="10" xfId="31" applyFill="1" applyBorder="1" applyAlignment="1">
      <alignment wrapText="1"/>
    </xf>
    <xf numFmtId="0" fontId="9" fillId="0" borderId="10" xfId="12" applyFill="1" applyBorder="1"/>
    <xf numFmtId="2" fontId="20" fillId="0" borderId="10" xfId="2" applyNumberFormat="1" applyFont="1" applyBorder="1"/>
    <xf numFmtId="0" fontId="0" fillId="0" borderId="10" xfId="0" applyFill="1" applyBorder="1" applyAlignment="1">
      <alignment horizontal="center" wrapText="1"/>
    </xf>
    <xf numFmtId="9" fontId="0" fillId="39" borderId="0" xfId="3" applyFont="1" applyFill="1"/>
    <xf numFmtId="0" fontId="26" fillId="42" borderId="10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0" fontId="30" fillId="34" borderId="0" xfId="46" applyFont="1" applyFill="1" applyAlignment="1" applyProtection="1">
      <alignment horizontal="center" vertical="center" wrapText="1"/>
      <protection locked="0"/>
    </xf>
    <xf numFmtId="0" fontId="29" fillId="37" borderId="10" xfId="0" applyFont="1" applyFill="1" applyBorder="1" applyAlignment="1">
      <alignment horizontal="center" vertical="center" wrapText="1"/>
    </xf>
    <xf numFmtId="0" fontId="0" fillId="34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23" fillId="0" borderId="0" xfId="0" applyFont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31" fillId="34" borderId="10" xfId="0" applyFont="1" applyFill="1" applyBorder="1" applyAlignment="1">
      <alignment horizontal="center" wrapText="1"/>
    </xf>
    <xf numFmtId="0" fontId="2" fillId="0" borderId="10" xfId="31" applyFill="1" applyBorder="1" applyAlignment="1">
      <alignment vertical="center" wrapText="1"/>
    </xf>
    <xf numFmtId="0" fontId="19" fillId="0" borderId="0" xfId="3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20" fillId="0" borderId="0" xfId="2" applyFont="1" applyFill="1" applyBorder="1"/>
    <xf numFmtId="9" fontId="21" fillId="0" borderId="0" xfId="4" applyNumberFormat="1" applyFont="1" applyFill="1" applyBorder="1"/>
    <xf numFmtId="0" fontId="0" fillId="0" borderId="0" xfId="4" applyFont="1" applyFill="1" applyBorder="1"/>
    <xf numFmtId="0" fontId="19" fillId="0" borderId="0" xfId="31" applyFont="1" applyFill="1" applyBorder="1"/>
    <xf numFmtId="0" fontId="22" fillId="0" borderId="0" xfId="2" applyFont="1" applyFill="1" applyBorder="1"/>
    <xf numFmtId="165" fontId="0" fillId="33" borderId="13" xfId="0" applyNumberFormat="1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3" xfId="0" applyFill="1" applyBorder="1" applyAlignment="1">
      <alignment wrapText="1"/>
    </xf>
    <xf numFmtId="2" fontId="3" fillId="0" borderId="0" xfId="4" applyNumberFormat="1" applyFill="1" applyBorder="1"/>
    <xf numFmtId="9" fontId="9" fillId="4" borderId="18" xfId="12" applyNumberFormat="1" applyBorder="1"/>
    <xf numFmtId="9" fontId="3" fillId="2" borderId="18" xfId="4" applyNumberFormat="1" applyBorder="1"/>
    <xf numFmtId="0" fontId="3" fillId="2" borderId="10" xfId="4" applyNumberFormat="1" applyBorder="1"/>
    <xf numFmtId="0" fontId="31" fillId="45" borderId="10" xfId="0" applyFont="1" applyFill="1" applyBorder="1" applyAlignment="1">
      <alignment horizontal="center" wrapText="1"/>
    </xf>
    <xf numFmtId="0" fontId="29" fillId="45" borderId="10" xfId="0" applyFont="1" applyFill="1" applyBorder="1" applyAlignment="1">
      <alignment horizontal="center" vertical="center" wrapText="1"/>
    </xf>
    <xf numFmtId="0" fontId="30" fillId="45" borderId="0" xfId="46" applyFont="1" applyFill="1" applyAlignment="1" applyProtection="1">
      <alignment horizontal="center" vertical="center" wrapText="1"/>
      <protection locked="0"/>
    </xf>
    <xf numFmtId="0" fontId="0" fillId="40" borderId="10" xfId="0" applyFill="1" applyBorder="1"/>
    <xf numFmtId="0" fontId="0" fillId="0" borderId="0" xfId="0" applyBorder="1" applyAlignment="1">
      <alignment horizontal="center"/>
    </xf>
    <xf numFmtId="0" fontId="15" fillId="18" borderId="10" xfId="31" applyFont="1" applyBorder="1"/>
    <xf numFmtId="0" fontId="15" fillId="0" borderId="10" xfId="0" applyFont="1" applyBorder="1" applyAlignment="1">
      <alignment wrapText="1"/>
    </xf>
    <xf numFmtId="0" fontId="15" fillId="0" borderId="10" xfId="0" applyFont="1" applyBorder="1"/>
    <xf numFmtId="9" fontId="15" fillId="4" borderId="10" xfId="12" applyNumberFormat="1" applyFont="1" applyBorder="1"/>
    <xf numFmtId="9" fontId="15" fillId="3" borderId="10" xfId="6" applyNumberFormat="1" applyFont="1" applyBorder="1"/>
    <xf numFmtId="0" fontId="34" fillId="0" borderId="10" xfId="2" applyFont="1" applyBorder="1"/>
    <xf numFmtId="165" fontId="15" fillId="33" borderId="10" xfId="0" applyNumberFormat="1" applyFont="1" applyFill="1" applyBorder="1" applyAlignment="1">
      <alignment horizontal="center"/>
    </xf>
    <xf numFmtId="0" fontId="15" fillId="33" borderId="10" xfId="0" applyFont="1" applyFill="1" applyBorder="1" applyAlignment="1">
      <alignment horizontal="center"/>
    </xf>
    <xf numFmtId="9" fontId="15" fillId="0" borderId="0" xfId="3" applyFont="1" applyBorder="1"/>
    <xf numFmtId="9" fontId="15" fillId="0" borderId="0" xfId="4" applyNumberFormat="1" applyFont="1" applyFill="1" applyBorder="1"/>
    <xf numFmtId="0" fontId="15" fillId="2" borderId="10" xfId="4" applyNumberFormat="1" applyFont="1" applyBorder="1"/>
    <xf numFmtId="0" fontId="15" fillId="0" borderId="10" xfId="0" applyFont="1" applyFill="1" applyBorder="1"/>
    <xf numFmtId="0" fontId="15" fillId="0" borderId="0" xfId="0" applyFont="1"/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46" borderId="22" xfId="0" applyFill="1" applyBorder="1" applyAlignment="1">
      <alignment horizontal="center"/>
    </xf>
    <xf numFmtId="0" fontId="0" fillId="47" borderId="22" xfId="0" applyFill="1" applyBorder="1" applyAlignment="1">
      <alignment horizontal="center"/>
    </xf>
    <xf numFmtId="0" fontId="0" fillId="47" borderId="23" xfId="0" applyFill="1" applyBorder="1" applyAlignment="1">
      <alignment horizontal="center"/>
    </xf>
    <xf numFmtId="0" fontId="0" fillId="48" borderId="15" xfId="0" applyFill="1" applyBorder="1" applyAlignment="1">
      <alignment horizontal="center"/>
    </xf>
    <xf numFmtId="0" fontId="0" fillId="49" borderId="16" xfId="0" applyFill="1" applyBorder="1" applyAlignment="1">
      <alignment horizontal="center"/>
    </xf>
    <xf numFmtId="0" fontId="0" fillId="50" borderId="20" xfId="0" applyFill="1" applyBorder="1" applyAlignment="1">
      <alignment horizontal="center"/>
    </xf>
    <xf numFmtId="0" fontId="0" fillId="50" borderId="17" xfId="0" applyFill="1" applyBorder="1" applyAlignment="1">
      <alignment horizontal="center"/>
    </xf>
    <xf numFmtId="0" fontId="25" fillId="51" borderId="15" xfId="0" applyFont="1" applyFill="1" applyBorder="1" applyAlignment="1">
      <alignment horizontal="center"/>
    </xf>
    <xf numFmtId="0" fontId="0" fillId="39" borderId="20" xfId="0" applyFill="1" applyBorder="1" applyAlignment="1">
      <alignment horizontal="center"/>
    </xf>
    <xf numFmtId="0" fontId="0" fillId="52" borderId="15" xfId="0" applyFill="1" applyBorder="1" applyAlignment="1">
      <alignment horizontal="center"/>
    </xf>
    <xf numFmtId="0" fontId="27" fillId="0" borderId="0" xfId="0" applyFont="1"/>
    <xf numFmtId="0" fontId="0" fillId="18" borderId="10" xfId="31" applyFont="1" applyBorder="1" applyAlignment="1">
      <alignment horizontal="center" wrapText="1"/>
    </xf>
    <xf numFmtId="0" fontId="0" fillId="18" borderId="10" xfId="31" applyFont="1" applyBorder="1" applyAlignment="1">
      <alignment horizontal="center"/>
    </xf>
    <xf numFmtId="0" fontId="0" fillId="0" borderId="10" xfId="31" applyFont="1" applyFill="1" applyBorder="1" applyAlignment="1">
      <alignment horizontal="center" wrapText="1"/>
    </xf>
    <xf numFmtId="0" fontId="1" fillId="0" borderId="10" xfId="3" applyNumberFormat="1" applyFont="1" applyBorder="1" applyAlignment="1">
      <alignment horizontal="center"/>
    </xf>
    <xf numFmtId="9" fontId="9" fillId="0" borderId="10" xfId="12" applyNumberFormat="1" applyFill="1" applyBorder="1" applyAlignment="1">
      <alignment horizontal="center"/>
    </xf>
    <xf numFmtId="9" fontId="3" fillId="0" borderId="10" xfId="4" applyNumberFormat="1" applyFill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0" xfId="2" applyAlignment="1">
      <alignment horizontal="center"/>
    </xf>
    <xf numFmtId="2" fontId="0" fillId="0" borderId="1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20" fillId="0" borderId="10" xfId="2" applyNumberFormat="1" applyFont="1" applyBorder="1" applyAlignment="1">
      <alignment horizontal="center"/>
    </xf>
    <xf numFmtId="2" fontId="21" fillId="2" borderId="10" xfId="4" applyNumberFormat="1" applyFont="1" applyBorder="1" applyAlignment="1">
      <alignment horizontal="center"/>
    </xf>
    <xf numFmtId="2" fontId="19" fillId="18" borderId="10" xfId="31" applyNumberFormat="1" applyFont="1" applyBorder="1" applyAlignment="1">
      <alignment horizontal="center"/>
    </xf>
    <xf numFmtId="2" fontId="19" fillId="0" borderId="10" xfId="3" applyNumberFormat="1" applyFont="1" applyBorder="1" applyAlignment="1">
      <alignment horizontal="center"/>
    </xf>
    <xf numFmtId="2" fontId="22" fillId="0" borderId="10" xfId="2" applyNumberFormat="1" applyFont="1" applyBorder="1" applyAlignment="1">
      <alignment horizontal="center"/>
    </xf>
    <xf numFmtId="0" fontId="0" fillId="0" borderId="0" xfId="31" applyFont="1" applyFill="1" applyBorder="1" applyAlignment="1">
      <alignment horizontal="center" wrapText="1"/>
    </xf>
    <xf numFmtId="9" fontId="0" fillId="0" borderId="0" xfId="3" applyFont="1" applyBorder="1" applyAlignment="1">
      <alignment horizontal="center"/>
    </xf>
    <xf numFmtId="9" fontId="9" fillId="0" borderId="0" xfId="12" applyNumberForma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1" fillId="0" borderId="0" xfId="3" applyNumberFormat="1" applyFont="1" applyFill="1" applyBorder="1" applyAlignment="1">
      <alignment horizontal="center"/>
    </xf>
    <xf numFmtId="9" fontId="3" fillId="2" borderId="11" xfId="4" applyNumberFormat="1" applyBorder="1" applyAlignment="1">
      <alignment horizontal="center"/>
    </xf>
    <xf numFmtId="9" fontId="9" fillId="0" borderId="12" xfId="12" applyNumberFormat="1" applyFill="1" applyBorder="1" applyAlignment="1">
      <alignment horizontal="center"/>
    </xf>
    <xf numFmtId="9" fontId="3" fillId="0" borderId="12" xfId="4" applyNumberFormat="1" applyFill="1" applyBorder="1" applyAlignment="1">
      <alignment horizontal="center"/>
    </xf>
    <xf numFmtId="0" fontId="1" fillId="0" borderId="0" xfId="2" applyBorder="1" applyAlignment="1">
      <alignment horizontal="center"/>
    </xf>
    <xf numFmtId="2" fontId="3" fillId="2" borderId="10" xfId="4" applyNumberFormat="1" applyBorder="1" applyAlignment="1">
      <alignment horizontal="center"/>
    </xf>
    <xf numFmtId="9" fontId="1" fillId="0" borderId="0" xfId="3" applyFont="1" applyFill="1" applyBorder="1" applyAlignment="1">
      <alignment horizontal="center"/>
    </xf>
    <xf numFmtId="0" fontId="0" fillId="0" borderId="0" xfId="31" applyFont="1" applyFill="1" applyBorder="1" applyAlignment="1">
      <alignment horizontal="center"/>
    </xf>
    <xf numFmtId="9" fontId="0" fillId="0" borderId="0" xfId="3" applyFont="1" applyAlignment="1">
      <alignment horizontal="center"/>
    </xf>
    <xf numFmtId="0" fontId="24" fillId="0" borderId="0" xfId="0" applyFont="1"/>
    <xf numFmtId="0" fontId="35" fillId="0" borderId="0" xfId="47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34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42" borderId="10" xfId="0" applyFill="1" applyBorder="1" applyAlignment="1">
      <alignment horizontal="center"/>
    </xf>
    <xf numFmtId="0" fontId="0" fillId="43" borderId="10" xfId="0" applyFill="1" applyBorder="1" applyAlignment="1">
      <alignment horizontal="center"/>
    </xf>
    <xf numFmtId="0" fontId="0" fillId="44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8" fillId="0" borderId="0" xfId="46" applyAlignment="1" applyProtection="1">
      <alignment horizontal="center"/>
      <protection locked="0"/>
    </xf>
    <xf numFmtId="2" fontId="0" fillId="0" borderId="0" xfId="0" applyNumberFormat="1" applyBorder="1" applyAlignment="1">
      <alignment vertical="center" wrapText="1"/>
    </xf>
    <xf numFmtId="0" fontId="36" fillId="0" borderId="0" xfId="0" applyFont="1"/>
    <xf numFmtId="0" fontId="25" fillId="0" borderId="0" xfId="0" applyFont="1"/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9" fontId="0" fillId="35" borderId="0" xfId="3" applyNumberFormat="1" applyFont="1" applyFill="1"/>
    <xf numFmtId="0" fontId="0" fillId="40" borderId="0" xfId="0" applyFill="1" applyBorder="1"/>
    <xf numFmtId="0" fontId="0" fillId="40" borderId="0" xfId="0" applyFill="1"/>
    <xf numFmtId="0" fontId="2" fillId="18" borderId="19" xfId="31" applyBorder="1" applyAlignment="1">
      <alignment vertical="center" wrapText="1"/>
    </xf>
    <xf numFmtId="0" fontId="0" fillId="53" borderId="26" xfId="0" applyFill="1" applyBorder="1" applyAlignment="1">
      <alignment vertical="center" wrapText="1"/>
    </xf>
    <xf numFmtId="0" fontId="2" fillId="20" borderId="13" xfId="33" applyFont="1" applyBorder="1" applyAlignment="1">
      <alignment vertical="center" wrapText="1"/>
    </xf>
    <xf numFmtId="0" fontId="0" fillId="53" borderId="26" xfId="33" applyFont="1" applyFill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11" xfId="0" applyBorder="1"/>
    <xf numFmtId="0" fontId="19" fillId="18" borderId="10" xfId="31" applyFont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" fillId="0" borderId="0" xfId="2" applyFill="1" applyBorder="1" applyAlignment="1">
      <alignment horizontal="center"/>
    </xf>
    <xf numFmtId="0" fontId="2" fillId="0" borderId="0" xfId="31" applyFill="1" applyBorder="1" applyAlignment="1">
      <alignment horizontal="center"/>
    </xf>
    <xf numFmtId="9" fontId="4" fillId="3" borderId="11" xfId="6" applyNumberFormat="1" applyBorder="1" applyAlignment="1">
      <alignment horizontal="center"/>
    </xf>
    <xf numFmtId="0" fontId="2" fillId="0" borderId="0" xfId="31" applyFill="1" applyBorder="1" applyAlignment="1">
      <alignment horizontal="center" wrapText="1"/>
    </xf>
    <xf numFmtId="0" fontId="9" fillId="0" borderId="0" xfId="12" applyFill="1" applyBorder="1" applyAlignment="1">
      <alignment horizontal="center"/>
    </xf>
    <xf numFmtId="2" fontId="0" fillId="0" borderId="10" xfId="0" applyNumberFormat="1" applyBorder="1"/>
    <xf numFmtId="2" fontId="19" fillId="18" borderId="10" xfId="31" applyNumberFormat="1" applyFont="1" applyBorder="1"/>
    <xf numFmtId="9" fontId="0" fillId="39" borderId="0" xfId="0" applyNumberFormat="1" applyFill="1"/>
    <xf numFmtId="1" fontId="3" fillId="2" borderId="10" xfId="4" applyNumberFormat="1" applyBorder="1"/>
    <xf numFmtId="9" fontId="2" fillId="39" borderId="10" xfId="3" applyNumberFormat="1" applyFont="1" applyFill="1" applyBorder="1" applyAlignment="1">
      <alignment vertical="center" wrapText="1"/>
    </xf>
    <xf numFmtId="2" fontId="19" fillId="0" borderId="10" xfId="0" applyNumberFormat="1" applyFont="1" applyBorder="1"/>
    <xf numFmtId="1" fontId="0" fillId="0" borderId="10" xfId="0" applyNumberFormat="1" applyBorder="1"/>
  </cellXfs>
  <cellStyles count="48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lear" xfId="46" xr:uid="{00000000-0005-0000-0000-00001B000000}"/>
    <cellStyle name="Explanatory Text" xfId="20" builtinId="53" customBuiltin="1"/>
    <cellStyle name="Good" xfId="4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7" builtinId="8"/>
    <cellStyle name="Input" xfId="13" builtinId="20" customBuiltin="1"/>
    <cellStyle name="Linked Cell" xfId="16" builtinId="24" customBuiltin="1"/>
    <cellStyle name="Neutral" xfId="6" builtinId="28" customBuiltin="1"/>
    <cellStyle name="Normal" xfId="0" builtinId="0"/>
    <cellStyle name="Normal 2" xfId="2" xr:uid="{00000000-0005-0000-0000-000027000000}"/>
    <cellStyle name="Normal 2 4" xfId="5" xr:uid="{00000000-0005-0000-0000-000028000000}"/>
    <cellStyle name="Normal 3" xfId="1" xr:uid="{00000000-0005-0000-0000-000029000000}"/>
    <cellStyle name="Note" xfId="19" builtinId="10" customBuiltin="1"/>
    <cellStyle name="Output" xfId="14" builtinId="21" customBuiltin="1"/>
    <cellStyle name="Percent" xfId="3" builtinId="5"/>
    <cellStyle name="Title" xfId="7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AF896"/>
      <color rgb="FFF5F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9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LC50 Values - Mosher Slough Resistant</a:t>
            </a:r>
          </a:p>
        </c:rich>
      </c:tx>
      <c:layout>
        <c:manualLayout>
          <c:xMode val="edge"/>
          <c:yMode val="edge"/>
          <c:x val="0.29861167166687613"/>
          <c:y val="4.849174168673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30490745944851E-2"/>
          <c:y val="0.1497798842260413"/>
          <c:w val="0.87201633543586821"/>
          <c:h val="0.75080778272342363"/>
        </c:manualLayout>
      </c:layout>
      <c:scatterChart>
        <c:scatterStyle val="lineMarker"/>
        <c:varyColors val="0"/>
        <c:ser>
          <c:idx val="0"/>
          <c:order val="0"/>
          <c:tx>
            <c:v>0.2 ppt</c:v>
          </c:tx>
          <c:spPr>
            <a:ln w="254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CAF'!$F$22,'LC50 Comparison Report CAF'!$F$23,'LC50 Comparison Report CAF'!$F$24)</c:f>
                <c:numCache>
                  <c:formatCode>General</c:formatCode>
                  <c:ptCount val="3"/>
                  <c:pt idx="0">
                    <c:v>379.12</c:v>
                  </c:pt>
                  <c:pt idx="1">
                    <c:v>494.35</c:v>
                  </c:pt>
                  <c:pt idx="2">
                    <c:v>197.67</c:v>
                  </c:pt>
                </c:numCache>
              </c:numRef>
            </c:plus>
            <c:minus>
              <c:numRef>
                <c:f>('LC50 Comparison Report CAF'!$E$22,'LC50 Comparison Report CAF'!$E$23,'LC50 Comparison Report CAF'!$E$24)</c:f>
                <c:numCache>
                  <c:formatCode>General</c:formatCode>
                  <c:ptCount val="3"/>
                  <c:pt idx="0">
                    <c:v>393.18</c:v>
                  </c:pt>
                  <c:pt idx="1">
                    <c:v>397.75</c:v>
                  </c:pt>
                  <c:pt idx="2">
                    <c:v>169.91</c:v>
                  </c:pt>
                </c:numCache>
              </c:numRef>
            </c:minus>
            <c:spPr>
              <a:noFill/>
              <a:ln w="9525" cap="sq">
                <a:solidFill>
                  <a:schemeClr val="accent2"/>
                </a:solidFill>
                <a:prstDash val="solid"/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CAF'!$E$27,'LC50 Comparison Report CAF'!$E$28,'LC50 Comparison Report CAF'!$E$29)</c:f>
              <c:numCache>
                <c:formatCode>General</c:formatCode>
                <c:ptCount val="3"/>
                <c:pt idx="0">
                  <c:v>1518.75</c:v>
                </c:pt>
                <c:pt idx="1">
                  <c:v>2035.53</c:v>
                </c:pt>
                <c:pt idx="2">
                  <c:v>1209.28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EA-4D60-BB43-9069EA7533CA}"/>
            </c:ext>
          </c:extLst>
        </c:ser>
        <c:ser>
          <c:idx val="2"/>
          <c:order val="1"/>
          <c:tx>
            <c:v>1.0 ppt</c:v>
          </c:tx>
          <c:spPr>
            <a:ln w="2540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triang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CAF'!$F$53,'LC50 Comparison Report CAF'!$F$54,'LC50 Comparison Report CAF'!$F$55)</c:f>
                <c:numCache>
                  <c:formatCode>General</c:formatCode>
                  <c:ptCount val="3"/>
                </c:numCache>
              </c:numRef>
            </c:plus>
            <c:minus>
              <c:numRef>
                <c:f>('LC50 Comparison Report CAF'!$E$53,'LC50 Comparison Report CAF'!$E$54,'LC50 Comparison Report CAF'!$E$55)</c:f>
                <c:numCache>
                  <c:formatCode>General</c:formatCode>
                  <c:ptCount val="3"/>
                </c:numCache>
              </c:numRef>
            </c:minus>
            <c:spPr>
              <a:noFill/>
              <a:ln w="9525">
                <a:solidFill>
                  <a:srgbClr val="FFC000"/>
                </a:solidFill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CAF'!$F$27,'LC50 Comparison Report CAF'!$F$28,'LC50 Comparison Report CAF'!$F$29)</c:f>
              <c:numCache>
                <c:formatCode>General</c:formatCode>
                <c:ptCount val="3"/>
                <c:pt idx="0">
                  <c:v>573.99</c:v>
                </c:pt>
                <c:pt idx="1">
                  <c:v>1560.1</c:v>
                </c:pt>
                <c:pt idx="2">
                  <c:v>962.3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8EA-4D60-BB43-9069EA7533CA}"/>
            </c:ext>
          </c:extLst>
        </c:ser>
        <c:ser>
          <c:idx val="1"/>
          <c:order val="2"/>
          <c:tx>
            <c:v>6.0 ppt</c:v>
          </c:tx>
          <c:spPr>
            <a:ln w="952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CAF'!$F$17,'LC50 Comparison Report CAF'!$F$18,'LC50 Comparison Report CAF'!$F$19)</c:f>
                <c:numCache>
                  <c:formatCode>General</c:formatCode>
                  <c:ptCount val="3"/>
                  <c:pt idx="0">
                    <c:v>183.88</c:v>
                  </c:pt>
                  <c:pt idx="1">
                    <c:v>191.4</c:v>
                  </c:pt>
                  <c:pt idx="2">
                    <c:v>448.68</c:v>
                  </c:pt>
                </c:numCache>
              </c:numRef>
            </c:plus>
            <c:minus>
              <c:numRef>
                <c:f>('LC50 Comparison Report CAF'!$E$17,'LC50 Comparison Report CAF'!$E$18,'LC50 Comparison Report CAF'!$E$19)</c:f>
                <c:numCache>
                  <c:formatCode>General</c:formatCode>
                  <c:ptCount val="3"/>
                  <c:pt idx="0">
                    <c:v>141.87</c:v>
                  </c:pt>
                  <c:pt idx="1">
                    <c:v>151.1</c:v>
                  </c:pt>
                  <c:pt idx="2">
                    <c:v>362.46</c:v>
                  </c:pt>
                </c:numCache>
              </c:numRef>
            </c:minus>
            <c:spPr>
              <a:noFill/>
              <a:ln w="9525" cap="sq">
                <a:solidFill>
                  <a:schemeClr val="accent4"/>
                </a:solidFill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CAF'!$G$27,'LC50 Comparison Report CAF'!$G$28,'LC50 Comparison Report CAF'!$G$29)</c:f>
              <c:numCache>
                <c:formatCode>General</c:formatCode>
                <c:ptCount val="3"/>
                <c:pt idx="0">
                  <c:v>980.15</c:v>
                </c:pt>
                <c:pt idx="1">
                  <c:v>863.6</c:v>
                </c:pt>
                <c:pt idx="2">
                  <c:v>1886.25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EA-4D60-BB43-9069EA753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11312"/>
        <c:axId val="545496624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2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'LC50 Comparison Report CAF'!$G$26:$G$29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980.15</c:v>
                      </c:pt>
                      <c:pt idx="2">
                        <c:v>863.6</c:v>
                      </c:pt>
                      <c:pt idx="3">
                        <c:v>1886.25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8EA-4D60-BB43-9069EA7533CA}"/>
                  </c:ext>
                </c:extLst>
              </c15:ser>
            </c15:filteredScatterSeries>
          </c:ext>
        </c:extLst>
      </c:scatterChart>
      <c:valAx>
        <c:axId val="545511312"/>
        <c:scaling>
          <c:orientation val="minMax"/>
          <c:max val="30"/>
          <c:min val="1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°C</a:t>
                </a:r>
              </a:p>
            </c:rich>
          </c:tx>
          <c:layout>
            <c:manualLayout>
              <c:xMode val="edge"/>
              <c:yMode val="edge"/>
              <c:x val="0.47514937419502373"/>
              <c:y val="0.94385176990720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96624"/>
        <c:crosses val="autoZero"/>
        <c:crossBetween val="midCat"/>
        <c:majorUnit val="5"/>
      </c:valAx>
      <c:valAx>
        <c:axId val="545496624"/>
        <c:scaling>
          <c:orientation val="minMax"/>
          <c:max val="280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LC50</a:t>
                </a:r>
                <a:r>
                  <a:rPr lang="en-US" baseline="0"/>
                  <a:t> (</a:t>
                </a:r>
                <a:r>
                  <a:rPr lang="en-US"/>
                  <a:t>ng/L)</a:t>
                </a:r>
              </a:p>
            </c:rich>
          </c:tx>
          <c:layout>
            <c:manualLayout>
              <c:xMode val="edge"/>
              <c:yMode val="edge"/>
              <c:x val="1.1758436226400392E-2"/>
              <c:y val="0.46068957288656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11312"/>
        <c:crosses val="autoZero"/>
        <c:crossBetween val="midCat"/>
      </c:valAx>
      <c:spPr>
        <a:solidFill>
          <a:schemeClr val="lt1"/>
        </a:solidFill>
        <a:ln w="25400" cap="sq" cmpd="sng" algn="ctr">
          <a:gradFill>
            <a:gsLst>
              <a:gs pos="2000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9.7560177651178789E-2"/>
          <c:y val="0.20955777781806384"/>
          <c:w val="9.9450353126444596E-2"/>
          <c:h val="0.20043972899226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  <a:round/>
    </a:ln>
    <a:effectLst/>
  </c:spPr>
  <c:txPr>
    <a:bodyPr/>
    <a:lstStyle/>
    <a:p>
      <a:pPr>
        <a:defRPr sz="14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Salinity 0.2 Psu</a:t>
            </a:r>
          </a:p>
        </c:rich>
      </c:tx>
      <c:layout>
        <c:manualLayout>
          <c:xMode val="edge"/>
          <c:yMode val="edge"/>
          <c:x val="0.32491357986918684"/>
          <c:y val="7.1039172972188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81374028647225"/>
          <c:y val="0.16404727808347463"/>
          <c:w val="0.77470998548806469"/>
          <c:h val="0.70470376762106435"/>
        </c:manualLayout>
      </c:layout>
      <c:scatterChart>
        <c:scatterStyle val="lineMarker"/>
        <c:varyColors val="0"/>
        <c:ser>
          <c:idx val="0"/>
          <c:order val="0"/>
          <c:tx>
            <c:v>MS13</c:v>
          </c:tx>
          <c:spPr>
            <a:ln w="254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CAF'!$T$41,'LC50 Comparison Report CAF'!$T$42,'LC50 Comparison Report CAF'!$T$43)</c:f>
                <c:numCache>
                  <c:formatCode>General</c:formatCode>
                  <c:ptCount val="3"/>
                  <c:pt idx="0">
                    <c:v>379.1</c:v>
                  </c:pt>
                  <c:pt idx="1">
                    <c:v>494.4</c:v>
                  </c:pt>
                  <c:pt idx="2">
                    <c:v>197.7</c:v>
                  </c:pt>
                </c:numCache>
              </c:numRef>
            </c:plus>
            <c:minus>
              <c:numRef>
                <c:f>('LC50 Comparison Report CAF'!$S$41,'LC50 Comparison Report CAF'!$S$42,'LC50 Comparison Report CAF'!$S$43)</c:f>
                <c:numCache>
                  <c:formatCode>General</c:formatCode>
                  <c:ptCount val="3"/>
                  <c:pt idx="0">
                    <c:v>393.2</c:v>
                  </c:pt>
                  <c:pt idx="1">
                    <c:v>397.8</c:v>
                  </c:pt>
                  <c:pt idx="2">
                    <c:v>169.9</c:v>
                  </c:pt>
                </c:numCache>
              </c:numRef>
            </c:minus>
            <c:spPr>
              <a:noFill/>
              <a:ln w="9525" cap="sq">
                <a:solidFill>
                  <a:schemeClr val="accent2"/>
                </a:solidFill>
                <a:prstDash val="solid"/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'LC50 Comparison Report CAF'!$R$41:$R$43</c:f>
              <c:numCache>
                <c:formatCode>General</c:formatCode>
                <c:ptCount val="3"/>
                <c:pt idx="0">
                  <c:v>1519</c:v>
                </c:pt>
                <c:pt idx="1">
                  <c:v>2035</c:v>
                </c:pt>
                <c:pt idx="2">
                  <c:v>1209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CD-4C53-86B7-6B57BAB9D3A6}"/>
            </c:ext>
          </c:extLst>
        </c:ser>
        <c:ser>
          <c:idx val="2"/>
          <c:order val="1"/>
          <c:tx>
            <c:v>ESC</c:v>
          </c:tx>
          <c:spPr>
            <a:ln w="2540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triang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CAF'!$AR$43,'LC50 Comparison Report CAF'!$AR$44,'LC50 Comparison Report CAF'!$AR$45)</c:f>
                <c:numCache>
                  <c:formatCode>General</c:formatCode>
                  <c:ptCount val="3"/>
                </c:numCache>
              </c:numRef>
            </c:plus>
            <c:minus>
              <c:numRef>
                <c:f>('LC50 Comparison Report CAF'!$AQ$43,'LC50 Comparison Report CAF'!$AQ$44,'LC50 Comparison Report CAF'!$AQ$45)</c:f>
                <c:numCache>
                  <c:formatCode>General</c:formatCode>
                  <c:ptCount val="3"/>
                </c:numCache>
              </c:numRef>
            </c:minus>
            <c:spPr>
              <a:noFill/>
              <a:ln w="9525">
                <a:solidFill>
                  <a:srgbClr val="FFC000"/>
                </a:solidFill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CAF'!$O$41,'LC50 Comparison Report CAF'!$O$42,'LC50 Comparison Report CAF'!$O$43)</c:f>
              <c:numCache>
                <c:formatCode>General</c:formatCode>
                <c:ptCount val="3"/>
                <c:pt idx="0">
                  <c:v>1420</c:v>
                </c:pt>
                <c:pt idx="1">
                  <c:v>1358</c:v>
                </c:pt>
                <c:pt idx="2">
                  <c:v>1309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1CD-4C53-86B7-6B57BAB9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04240"/>
        <c:axId val="54550532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2"/>
                <c:tx>
                  <c:v>6.0 ppt</c:v>
                </c:tx>
                <c:spPr>
                  <a:ln w="9525" cap="rnd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10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('LC50 Comparison Report CAF'!$AR$38,'LC50 Comparison Report CAF'!$AR$39,'LC50 Comparison Report CAF'!$AR$40)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('LC50 Comparison Report CAF'!$AQ$38,'LC50 Comparison Report CAF'!$AQ$39,'LC50 Comparison Report CAF'!$AQ$40)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</c:numCache>
                    </c:numRef>
                  </c:minus>
                  <c:spPr>
                    <a:noFill/>
                    <a:ln w="9525" cap="sq">
                      <a:solidFill>
                        <a:schemeClr val="accent4"/>
                      </a:solidFill>
                      <a:round/>
                      <a:headEnd type="none" w="sm" len="med"/>
                      <a:tailEnd type="none" w="sm" len="med"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('LC50 Comparison Report CAF'!$D$13,'LC50 Comparison Report CAF'!$D$14,'LC50 Comparison Report CAF'!$D$15)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1188</c:v>
                      </c:pt>
                      <c:pt idx="1">
                        <c:v>962.9</c:v>
                      </c:pt>
                      <c:pt idx="2">
                        <c:v>882.4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F1CD-4C53-86B7-6B57BAB9D3A6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2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'LC50 Comparison Report CAF'!$G$26:$G$29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980.15</c:v>
                      </c:pt>
                      <c:pt idx="2">
                        <c:v>863.6</c:v>
                      </c:pt>
                      <c:pt idx="3">
                        <c:v>1886.25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CD-4C53-86B7-6B57BAB9D3A6}"/>
                  </c:ext>
                </c:extLst>
              </c15:ser>
            </c15:filteredScatterSeries>
          </c:ext>
        </c:extLst>
      </c:scatterChart>
      <c:valAx>
        <c:axId val="545504240"/>
        <c:scaling>
          <c:orientation val="minMax"/>
          <c:max val="30"/>
          <c:min val="1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temperature °C</a:t>
                </a:r>
              </a:p>
            </c:rich>
          </c:tx>
          <c:layout>
            <c:manualLayout>
              <c:xMode val="edge"/>
              <c:yMode val="edge"/>
              <c:x val="0.45101179998111496"/>
              <c:y val="0.93507193273693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05328"/>
        <c:crosses val="autoZero"/>
        <c:crossBetween val="midCat"/>
        <c:majorUnit val="5"/>
      </c:valAx>
      <c:valAx>
        <c:axId val="545505328"/>
        <c:scaling>
          <c:orientation val="minMax"/>
          <c:max val="300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LC50</a:t>
                </a:r>
                <a:r>
                  <a:rPr lang="en-US" sz="1000" baseline="0"/>
                  <a:t> (</a:t>
                </a:r>
                <a:r>
                  <a:rPr lang="en-US" sz="1000"/>
                  <a:t>ng/L)</a:t>
                </a:r>
              </a:p>
            </c:rich>
          </c:tx>
          <c:layout>
            <c:manualLayout>
              <c:xMode val="edge"/>
              <c:yMode val="edge"/>
              <c:x val="2.9718343961879664E-2"/>
              <c:y val="0.43616348901016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04240"/>
        <c:crosses val="autoZero"/>
        <c:crossBetween val="midCat"/>
      </c:valAx>
      <c:spPr>
        <a:solidFill>
          <a:schemeClr val="lt1"/>
        </a:solidFill>
        <a:ln w="25400" cap="sq" cmpd="sng" algn="ctr">
          <a:gradFill>
            <a:gsLst>
              <a:gs pos="2000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1142866957961343"/>
          <c:y val="0.21752081468360115"/>
          <c:w val="0.18918568117921181"/>
          <c:h val="0.211519464311992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  <a:round/>
    </a:ln>
    <a:effectLst/>
  </c:spPr>
  <c:txPr>
    <a:bodyPr/>
    <a:lstStyle/>
    <a:p>
      <a:pPr>
        <a:defRPr sz="14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Salinity 1.0 Psu</a:t>
            </a:r>
          </a:p>
        </c:rich>
      </c:tx>
      <c:layout>
        <c:manualLayout>
          <c:xMode val="edge"/>
          <c:yMode val="edge"/>
          <c:x val="0.31160405546262226"/>
          <c:y val="6.2569115545605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15842064443788"/>
          <c:y val="0.1599971038093288"/>
          <c:w val="0.78468067208822168"/>
          <c:h val="0.70896769909383428"/>
        </c:manualLayout>
      </c:layout>
      <c:scatterChart>
        <c:scatterStyle val="lineMarker"/>
        <c:varyColors val="0"/>
        <c:ser>
          <c:idx val="0"/>
          <c:order val="0"/>
          <c:tx>
            <c:v>M</c:v>
          </c:tx>
          <c:spPr>
            <a:ln w="254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CAF'!$T$44,'LC50 Comparison Report CAF'!$T$45,'LC50 Comparison Report CAF'!$T$46)</c:f>
                <c:numCache>
                  <c:formatCode>General</c:formatCode>
                  <c:ptCount val="3"/>
                  <c:pt idx="0">
                    <c:v>104.9</c:v>
                  </c:pt>
                  <c:pt idx="1">
                    <c:v>206</c:v>
                  </c:pt>
                  <c:pt idx="2">
                    <c:v>183.7</c:v>
                  </c:pt>
                </c:numCache>
              </c:numRef>
            </c:plus>
            <c:minus>
              <c:numRef>
                <c:f>('LC50 Comparison Report CAF'!$S$44,'LC50 Comparison Report CAF'!$S$45,'LC50 Comparison Report CAF'!$S$46)</c:f>
                <c:numCache>
                  <c:formatCode>General</c:formatCode>
                  <c:ptCount val="3"/>
                  <c:pt idx="0">
                    <c:v>88.39</c:v>
                  </c:pt>
                  <c:pt idx="1">
                    <c:v>182</c:v>
                  </c:pt>
                  <c:pt idx="2">
                    <c:v>214.3</c:v>
                  </c:pt>
                </c:numCache>
              </c:numRef>
            </c:minus>
            <c:spPr>
              <a:noFill/>
              <a:ln w="9525" cap="sq">
                <a:solidFill>
                  <a:schemeClr val="accent2"/>
                </a:solidFill>
                <a:prstDash val="solid"/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CAF'!$R$44,'LC50 Comparison Report CAF'!$R$45,'LC50 Comparison Report CAF'!$R$46)</c:f>
              <c:numCache>
                <c:formatCode>General</c:formatCode>
                <c:ptCount val="3"/>
                <c:pt idx="0">
                  <c:v>574</c:v>
                </c:pt>
                <c:pt idx="1">
                  <c:v>1560</c:v>
                </c:pt>
                <c:pt idx="2">
                  <c:v>962.3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2-49CF-9090-37DE248A0CAF}"/>
            </c:ext>
          </c:extLst>
        </c:ser>
        <c:ser>
          <c:idx val="2"/>
          <c:order val="1"/>
          <c:tx>
            <c:v>E</c:v>
          </c:tx>
          <c:spPr>
            <a:ln w="2540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triang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CAF'!$Q$44,'LC50 Comparison Report CAF'!$Q$45,'LC50 Comparison Report CAF'!$Q$46)</c:f>
                <c:numCache>
                  <c:formatCode>General</c:formatCode>
                  <c:ptCount val="3"/>
                  <c:pt idx="0">
                    <c:v>354</c:v>
                  </c:pt>
                  <c:pt idx="1">
                    <c:v>187</c:v>
                  </c:pt>
                  <c:pt idx="2">
                    <c:v>313</c:v>
                  </c:pt>
                </c:numCache>
              </c:numRef>
            </c:plus>
            <c:minus>
              <c:numRef>
                <c:f>('LC50 Comparison Report CAF'!$P$44,'LC50 Comparison Report CAF'!$P$45,'LC50 Comparison Report CAF'!$P$46)</c:f>
                <c:numCache>
                  <c:formatCode>General</c:formatCode>
                  <c:ptCount val="3"/>
                  <c:pt idx="0">
                    <c:v>321</c:v>
                  </c:pt>
                  <c:pt idx="1">
                    <c:v>159</c:v>
                  </c:pt>
                  <c:pt idx="2">
                    <c:v>122</c:v>
                  </c:pt>
                </c:numCache>
              </c:numRef>
            </c:minus>
            <c:spPr>
              <a:noFill/>
              <a:ln w="9525">
                <a:solidFill>
                  <a:srgbClr val="FFC000"/>
                </a:solidFill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CAF'!$O$44,'LC50 Comparison Report CAF'!$O$45,'LC50 Comparison Report CAF'!$O$46)</c:f>
              <c:numCache>
                <c:formatCode>General</c:formatCode>
                <c:ptCount val="3"/>
                <c:pt idx="0">
                  <c:v>1505</c:v>
                </c:pt>
                <c:pt idx="1">
                  <c:v>907.5</c:v>
                </c:pt>
                <c:pt idx="2">
                  <c:v>1497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082-49CF-9090-37DE248A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375424"/>
        <c:axId val="58537270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2"/>
                <c:tx>
                  <c:v>6.0 ppt</c:v>
                </c:tx>
                <c:spPr>
                  <a:ln w="9525" cap="rnd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10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('LC50 Comparison Report CAF'!$AR$38,'LC50 Comparison Report CAF'!$AR$39,'LC50 Comparison Report CAF'!$AR$40)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('LC50 Comparison Report CAF'!$AQ$38,'LC50 Comparison Report CAF'!$AQ$39,'LC50 Comparison Report CAF'!$AQ$40)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</c:numCache>
                    </c:numRef>
                  </c:minus>
                  <c:spPr>
                    <a:noFill/>
                    <a:ln w="9525" cap="sq">
                      <a:solidFill>
                        <a:schemeClr val="accent4"/>
                      </a:solidFill>
                      <a:round/>
                      <a:headEnd type="none" w="sm" len="med"/>
                      <a:tailEnd type="none" w="sm" len="med"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('LC50 Comparison Report CAF'!$D$13,'LC50 Comparison Report CAF'!$D$14,'LC50 Comparison Report CAF'!$D$15)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1188</c:v>
                      </c:pt>
                      <c:pt idx="1">
                        <c:v>962.9</c:v>
                      </c:pt>
                      <c:pt idx="2">
                        <c:v>882.4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E082-49CF-9090-37DE248A0CAF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2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'LC50 Comparison Report CAF'!$G$26:$G$29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980.15</c:v>
                      </c:pt>
                      <c:pt idx="2">
                        <c:v>863.6</c:v>
                      </c:pt>
                      <c:pt idx="3">
                        <c:v>1886.25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082-49CF-9090-37DE248A0CAF}"/>
                  </c:ext>
                </c:extLst>
              </c15:ser>
            </c15:filteredScatterSeries>
          </c:ext>
        </c:extLst>
      </c:scatterChart>
      <c:valAx>
        <c:axId val="585375424"/>
        <c:scaling>
          <c:orientation val="minMax"/>
          <c:max val="30"/>
          <c:min val="1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temperature °C</a:t>
                </a:r>
              </a:p>
            </c:rich>
          </c:tx>
          <c:layout>
            <c:manualLayout>
              <c:xMode val="edge"/>
              <c:yMode val="edge"/>
              <c:x val="0.44420430290451135"/>
              <c:y val="0.93507203101069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72704"/>
        <c:crosses val="autoZero"/>
        <c:crossBetween val="midCat"/>
        <c:majorUnit val="5"/>
      </c:valAx>
      <c:valAx>
        <c:axId val="585372704"/>
        <c:scaling>
          <c:orientation val="minMax"/>
          <c:max val="300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LC50</a:t>
                </a:r>
                <a:r>
                  <a:rPr lang="en-US" sz="1000" baseline="0"/>
                  <a:t> (</a:t>
                </a:r>
                <a:r>
                  <a:rPr lang="en-US" sz="1000"/>
                  <a:t>ng/L)</a:t>
                </a:r>
              </a:p>
            </c:rich>
          </c:tx>
          <c:layout>
            <c:manualLayout>
              <c:xMode val="edge"/>
              <c:yMode val="edge"/>
              <c:x val="1.9622100217846761E-2"/>
              <c:y val="0.42764232983790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75424"/>
        <c:crosses val="autoZero"/>
        <c:crossBetween val="midCat"/>
      </c:valAx>
      <c:spPr>
        <a:solidFill>
          <a:schemeClr val="lt1"/>
        </a:solidFill>
        <a:ln w="25400" cap="sq" cmpd="sng" algn="ctr">
          <a:gradFill>
            <a:gsLst>
              <a:gs pos="2000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9258241282797184"/>
          <c:y val="0.16251685673476626"/>
          <c:w val="0.18585550274775076"/>
          <c:h val="0.22429083365729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  <a:round/>
    </a:ln>
    <a:effectLst/>
  </c:spPr>
  <c:txPr>
    <a:bodyPr/>
    <a:lstStyle/>
    <a:p>
      <a:pPr>
        <a:defRPr sz="14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Salinity 6.0 Psu</a:t>
            </a:r>
          </a:p>
        </c:rich>
      </c:tx>
      <c:layout>
        <c:manualLayout>
          <c:xMode val="edge"/>
          <c:yMode val="edge"/>
          <c:x val="0.28162193542905961"/>
          <c:y val="5.40028941794277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49631352090088"/>
          <c:y val="0.15127467586296595"/>
          <c:w val="0.78468067208822168"/>
          <c:h val="0.72173909545663439"/>
        </c:manualLayout>
      </c:layout>
      <c:scatterChart>
        <c:scatterStyle val="lineMarker"/>
        <c:varyColors val="0"/>
        <c:ser>
          <c:idx val="0"/>
          <c:order val="0"/>
          <c:tx>
            <c:v>M</c:v>
          </c:tx>
          <c:spPr>
            <a:ln w="2540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CAF'!$T$47,'LC50 Comparison Report CAF'!$T$48,'LC50 Comparison Report CAF'!$T$49)</c:f>
                <c:numCache>
                  <c:formatCode>General</c:formatCode>
                  <c:ptCount val="3"/>
                  <c:pt idx="0">
                    <c:v>183.9</c:v>
                  </c:pt>
                  <c:pt idx="1">
                    <c:v>191.4</c:v>
                  </c:pt>
                  <c:pt idx="2">
                    <c:v>448.7</c:v>
                  </c:pt>
                </c:numCache>
              </c:numRef>
            </c:plus>
            <c:minus>
              <c:numRef>
                <c:f>('LC50 Comparison Report CAF'!$S$47,'LC50 Comparison Report CAF'!$S$48,'LC50 Comparison Report CAF'!$S$49)</c:f>
                <c:numCache>
                  <c:formatCode>General</c:formatCode>
                  <c:ptCount val="3"/>
                  <c:pt idx="0">
                    <c:v>141.9</c:v>
                  </c:pt>
                  <c:pt idx="1">
                    <c:v>151.1</c:v>
                  </c:pt>
                  <c:pt idx="2">
                    <c:v>362.5</c:v>
                  </c:pt>
                </c:numCache>
              </c:numRef>
            </c:minus>
            <c:spPr>
              <a:noFill/>
              <a:ln w="9525" cap="sq">
                <a:solidFill>
                  <a:schemeClr val="accent2"/>
                </a:solidFill>
                <a:prstDash val="solid"/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CAF'!$R$47,'LC50 Comparison Report CAF'!$R$48,'LC50 Comparison Report CAF'!$R$49)</c:f>
              <c:numCache>
                <c:formatCode>General</c:formatCode>
                <c:ptCount val="3"/>
                <c:pt idx="0">
                  <c:v>980.2</c:v>
                </c:pt>
                <c:pt idx="1">
                  <c:v>863.6</c:v>
                </c:pt>
                <c:pt idx="2">
                  <c:v>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B-4E49-999A-5FABBBFA9A9A}"/>
            </c:ext>
          </c:extLst>
        </c:ser>
        <c:ser>
          <c:idx val="2"/>
          <c:order val="1"/>
          <c:tx>
            <c:v>E</c:v>
          </c:tx>
          <c:spPr>
            <a:ln w="25400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triangl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CAF'!$Q$47,'LC50 Comparison Report CAF'!$Q$48,'LC50 Comparison Report CAF'!$Q$49)</c:f>
                <c:numCache>
                  <c:formatCode>General</c:formatCode>
                  <c:ptCount val="3"/>
                  <c:pt idx="0">
                    <c:v>213</c:v>
                  </c:pt>
                  <c:pt idx="1">
                    <c:v>164</c:v>
                  </c:pt>
                  <c:pt idx="2">
                    <c:v>141</c:v>
                  </c:pt>
                </c:numCache>
              </c:numRef>
            </c:plus>
            <c:minus>
              <c:numRef>
                <c:f>('LC50 Comparison Report CAF'!$P$47,'LC50 Comparison Report CAF'!$P$48,'LC50 Comparison Report CAF'!$P$49)</c:f>
                <c:numCache>
                  <c:formatCode>General</c:formatCode>
                  <c:ptCount val="3"/>
                  <c:pt idx="0">
                    <c:v>192</c:v>
                  </c:pt>
                  <c:pt idx="1">
                    <c:v>169</c:v>
                  </c:pt>
                  <c:pt idx="2">
                    <c:v>121</c:v>
                  </c:pt>
                </c:numCache>
              </c:numRef>
            </c:minus>
            <c:spPr>
              <a:noFill/>
              <a:ln w="9525">
                <a:solidFill>
                  <a:srgbClr val="FFC000"/>
                </a:solidFill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CAF'!$O$47,'LC50 Comparison Report CAF'!$O$48,'LC50 Comparison Report CAF'!$O$49)</c:f>
              <c:numCache>
                <c:formatCode>General</c:formatCode>
                <c:ptCount val="3"/>
                <c:pt idx="0">
                  <c:v>1188</c:v>
                </c:pt>
                <c:pt idx="1">
                  <c:v>962.9</c:v>
                </c:pt>
                <c:pt idx="2">
                  <c:v>882.4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8CB-4E49-999A-5FABBBFA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374336"/>
        <c:axId val="5853667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2"/>
                <c:tx>
                  <c:v>6.0 ppt</c:v>
                </c:tx>
                <c:spPr>
                  <a:ln w="9525" cap="rnd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square"/>
                  <c:size val="10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('LC50 Comparison Report CAF'!$AR$38,'LC50 Comparison Report CAF'!$AR$39,'LC50 Comparison Report CAF'!$AR$40)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('LC50 Comparison Report CAF'!$AQ$38,'LC50 Comparison Report CAF'!$AQ$39,'LC50 Comparison Report CAF'!$AQ$40)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</c:numCache>
                    </c:numRef>
                  </c:minus>
                  <c:spPr>
                    <a:noFill/>
                    <a:ln w="9525" cap="sq">
                      <a:solidFill>
                        <a:schemeClr val="accent4"/>
                      </a:solidFill>
                      <a:round/>
                      <a:headEnd type="none" w="sm" len="med"/>
                      <a:tailEnd type="none" w="sm" len="med"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('LC50 Comparison Report CAF'!$D$13,'LC50 Comparison Report CAF'!$D$14,'LC50 Comparison Report CAF'!$D$15)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1188</c:v>
                      </c:pt>
                      <c:pt idx="1">
                        <c:v>962.9</c:v>
                      </c:pt>
                      <c:pt idx="2">
                        <c:v>882.4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E8CB-4E49-999A-5FABBBFA9A9A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2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'LC50 Comparison Report CAF'!$G$26:$G$29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980.15</c:v>
                      </c:pt>
                      <c:pt idx="2">
                        <c:v>863.6</c:v>
                      </c:pt>
                      <c:pt idx="3">
                        <c:v>1886.25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CB-4E49-999A-5FABBBFA9A9A}"/>
                  </c:ext>
                </c:extLst>
              </c15:ser>
            </c15:filteredScatterSeries>
          </c:ext>
        </c:extLst>
      </c:scatterChart>
      <c:valAx>
        <c:axId val="585374336"/>
        <c:scaling>
          <c:orientation val="minMax"/>
          <c:max val="30"/>
          <c:min val="1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temperature °C</a:t>
                </a:r>
              </a:p>
            </c:rich>
          </c:tx>
          <c:layout>
            <c:manualLayout>
              <c:xMode val="edge"/>
              <c:yMode val="edge"/>
              <c:x val="0.43090273005494523"/>
              <c:y val="0.93527021961268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66720"/>
        <c:crosses val="autoZero"/>
        <c:crossBetween val="midCat"/>
        <c:majorUnit val="5"/>
      </c:valAx>
      <c:valAx>
        <c:axId val="585366720"/>
        <c:scaling>
          <c:orientation val="minMax"/>
          <c:max val="300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LC50</a:t>
                </a:r>
                <a:r>
                  <a:rPr lang="en-US" sz="1000" baseline="0"/>
                  <a:t> (</a:t>
                </a:r>
                <a:r>
                  <a:rPr lang="en-US" sz="1000"/>
                  <a:t>ng/L)</a:t>
                </a:r>
              </a:p>
            </c:rich>
          </c:tx>
          <c:layout>
            <c:manualLayout>
              <c:xMode val="edge"/>
              <c:yMode val="edge"/>
              <c:x val="6.3878168670250621E-3"/>
              <c:y val="0.43189946195883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74336"/>
        <c:crosses val="autoZero"/>
        <c:crossBetween val="midCat"/>
      </c:valAx>
      <c:spPr>
        <a:solidFill>
          <a:schemeClr val="lt1"/>
        </a:solidFill>
        <a:ln w="25400" cap="sq" cmpd="sng" algn="ctr">
          <a:gradFill>
            <a:gsLst>
              <a:gs pos="2000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5928112215385407"/>
          <c:y val="0.14974546037196609"/>
          <c:w val="0.18585550274775076"/>
          <c:h val="0.22429083365729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  <a:round/>
    </a:ln>
    <a:effectLst/>
  </c:spPr>
  <c:txPr>
    <a:bodyPr/>
    <a:lstStyle/>
    <a:p>
      <a:pPr>
        <a:defRPr sz="14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/>
              <a:t>Salinity 6.0 Psu</a:t>
            </a:r>
          </a:p>
        </c:rich>
      </c:tx>
      <c:layout>
        <c:manualLayout>
          <c:xMode val="edge"/>
          <c:yMode val="edge"/>
          <c:x val="0.27496167729423604"/>
          <c:y val="4.1231497816627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18542752578464"/>
          <c:y val="0.14276029292306189"/>
          <c:w val="0.82131218808916484"/>
          <c:h val="0.72599622757756799"/>
        </c:manualLayout>
      </c:layout>
      <c:scatterChart>
        <c:scatterStyle val="lineMarker"/>
        <c:varyColors val="0"/>
        <c:ser>
          <c:idx val="1"/>
          <c:order val="2"/>
          <c:tx>
            <c:v>Wild-type</c:v>
          </c:tx>
          <c:spPr>
            <a:ln w="952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('LC50 Comparison Report CAF'!$W$47,'LC50 Comparison Report CAF'!$W$48,'LC50 Comparison Report CAF'!$W$49)</c:f>
                <c:numCache>
                  <c:formatCode>General</c:formatCode>
                  <c:ptCount val="3"/>
                  <c:pt idx="0">
                    <c:v>2.5</c:v>
                  </c:pt>
                  <c:pt idx="1">
                    <c:v>8.3000000000000007</c:v>
                  </c:pt>
                  <c:pt idx="2">
                    <c:v>3.5</c:v>
                  </c:pt>
                </c:numCache>
              </c:numRef>
            </c:plus>
            <c:minus>
              <c:numRef>
                <c:f>('LC50 Comparison Report CAF'!$V$47,'LC50 Comparison Report CAF'!$V$48,'LC50 Comparison Report CAF'!$V$49)</c:f>
                <c:numCache>
                  <c:formatCode>General</c:formatCode>
                  <c:ptCount val="3"/>
                  <c:pt idx="0">
                    <c:v>2.9</c:v>
                  </c:pt>
                  <c:pt idx="1">
                    <c:v>7.5</c:v>
                  </c:pt>
                  <c:pt idx="2">
                    <c:v>5.2</c:v>
                  </c:pt>
                </c:numCache>
              </c:numRef>
            </c:minus>
            <c:spPr>
              <a:noFill/>
              <a:ln w="9525" cap="sq">
                <a:solidFill>
                  <a:schemeClr val="accent4"/>
                </a:solidFill>
                <a:round/>
                <a:headEnd type="none" w="sm" len="med"/>
                <a:tailEnd type="none" w="sm" len="med"/>
              </a:ln>
              <a:effectLst/>
            </c:spPr>
          </c:errBars>
          <c:xVal>
            <c:numRef>
              <c:f>('LC50 Comparison Report CAF'!$D$27,'LC50 Comparison Report CAF'!$D$28,'LC50 Comparison Report CAF'!$D$29)</c:f>
              <c:numCache>
                <c:formatCode>General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28</c:v>
                </c:pt>
              </c:numCache>
            </c:numRef>
          </c:xVal>
          <c:yVal>
            <c:numRef>
              <c:f>('LC50 Comparison Report CAF'!$U$47,'LC50 Comparison Report CAF'!$U$48,'LC50 Comparison Report CAF'!$U$49)</c:f>
              <c:numCache>
                <c:formatCode>General</c:formatCode>
                <c:ptCount val="3"/>
                <c:pt idx="0">
                  <c:v>14.2</c:v>
                </c:pt>
                <c:pt idx="1">
                  <c:v>33.799999999999997</c:v>
                </c:pt>
                <c:pt idx="2">
                  <c:v>27.5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56F4-41C7-B4FB-488777EA5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369440"/>
        <c:axId val="58537596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M</c:v>
                </c:tx>
                <c:spPr>
                  <a:ln w="25400" cap="rnd">
                    <a:solidFill>
                      <a:schemeClr val="accent2"/>
                    </a:solidFill>
                    <a:prstDash val="sysDot"/>
                    <a:round/>
                  </a:ln>
                  <a:effectLst/>
                </c:spPr>
                <c:marker>
                  <c:symbol val="diamond"/>
                  <c:size val="10"/>
                  <c:spPr>
                    <a:solidFill>
                      <a:schemeClr val="accent2"/>
                    </a:solidFill>
                    <a:ln w="25400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('LC50 Comparison Report CAF'!$T$41,'LC50 Comparison Report CAF'!$T$42,'LC50 Comparison Report CAF'!$T$43)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  <c:pt idx="0">
                          <c:v>379.1</c:v>
                        </c:pt>
                        <c:pt idx="1">
                          <c:v>494.4</c:v>
                        </c:pt>
                        <c:pt idx="2">
                          <c:v>197.7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('LC50 Comparison Report CAF'!$S$41,'LC50 Comparison Report CAF'!$S$42,'LC50 Comparison Report CAF'!$S$43)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  <c:pt idx="0">
                          <c:v>393.2</c:v>
                        </c:pt>
                        <c:pt idx="1">
                          <c:v>397.8</c:v>
                        </c:pt>
                        <c:pt idx="2">
                          <c:v>169.9</c:v>
                        </c:pt>
                      </c:numCache>
                    </c:numRef>
                  </c:minus>
                  <c:spPr>
                    <a:noFill/>
                    <a:ln w="9525" cap="sq">
                      <a:solidFill>
                        <a:schemeClr val="accent2"/>
                      </a:solidFill>
                      <a:prstDash val="solid"/>
                      <a:round/>
                      <a:headEnd type="none" w="sm" len="med"/>
                      <a:tailEnd type="none" w="sm" len="med"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'LC50 Comparison Report CAF'!$R$41:$R$43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1519</c:v>
                      </c:pt>
                      <c:pt idx="1">
                        <c:v>2035</c:v>
                      </c:pt>
                      <c:pt idx="2">
                        <c:v>1209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56F4-41C7-B4FB-488777EA5DE6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v>E</c:v>
                </c:tx>
                <c:spPr>
                  <a:ln w="25400" cap="rnd">
                    <a:solidFill>
                      <a:srgbClr val="FFC000"/>
                    </a:solidFill>
                    <a:prstDash val="sysDot"/>
                    <a:round/>
                  </a:ln>
                  <a:effectLst/>
                </c:spPr>
                <c:marker>
                  <c:symbol val="triangle"/>
                  <c:size val="10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  <a:round/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('LC50 Comparison Report CAF'!$AR$43,'LC50 Comparison Report CAF'!$AR$44,'LC50 Comparison Report CAF'!$AR$45)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('LC50 Comparison Report CAF'!$AQ$43,'LC50 Comparison Report CAF'!$AQ$44,'LC50 Comparison Report CAF'!$AQ$45)</c15:sqref>
                          </c15:formulaRef>
                        </c:ext>
                      </c:extLst>
                      <c:numCache>
                        <c:formatCode>General</c:formatCode>
                        <c:ptCount val="3"/>
                      </c:numCache>
                    </c:numRef>
                  </c:minus>
                  <c:spPr>
                    <a:noFill/>
                    <a:ln w="9525">
                      <a:solidFill>
                        <a:srgbClr val="FFC000"/>
                      </a:solidFill>
                      <a:round/>
                      <a:headEnd type="none" w="sm" len="med"/>
                      <a:tailEnd type="none" w="sm" len="med"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('LC50 Comparison Report CAF'!$O$41,'LC50 Comparison Report CAF'!$O$42,'LC50 Comparison Report CAF'!$O$43)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1420</c:v>
                      </c:pt>
                      <c:pt idx="1">
                        <c:v>1358</c:v>
                      </c:pt>
                      <c:pt idx="2">
                        <c:v>1309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6F4-41C7-B4FB-488777EA5DE6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2">
                          <a:lumMod val="60000"/>
                        </a:schemeClr>
                      </a:solidFill>
                      <a:round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('LC50 Comparison Report CAF'!$D$27,'LC50 Comparison Report CAF'!$D$28,'LC50 Comparison Report CAF'!$D$29)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18</c:v>
                      </c:pt>
                      <c:pt idx="1">
                        <c:v>23</c:v>
                      </c:pt>
                      <c:pt idx="2">
                        <c:v>28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'LC50 Comparison Report CAF'!$G$26:$G$29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980.15</c:v>
                      </c:pt>
                      <c:pt idx="2">
                        <c:v>863.6</c:v>
                      </c:pt>
                      <c:pt idx="3">
                        <c:v>1886.25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6F4-41C7-B4FB-488777EA5DE6}"/>
                  </c:ext>
                </c:extLst>
              </c15:ser>
            </c15:filteredScatterSeries>
          </c:ext>
        </c:extLst>
      </c:scatterChart>
      <c:valAx>
        <c:axId val="585369440"/>
        <c:scaling>
          <c:orientation val="minMax"/>
          <c:max val="30"/>
          <c:min val="1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temperature °C</a:t>
                </a:r>
              </a:p>
            </c:rich>
          </c:tx>
          <c:layout>
            <c:manualLayout>
              <c:xMode val="edge"/>
              <c:yMode val="edge"/>
              <c:x val="0.42424244808014128"/>
              <c:y val="0.931013006376647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75968"/>
        <c:crosses val="autoZero"/>
        <c:crossBetween val="midCat"/>
        <c:majorUnit val="5"/>
      </c:valAx>
      <c:valAx>
        <c:axId val="585375968"/>
        <c:scaling>
          <c:orientation val="minMax"/>
          <c:max val="50"/>
          <c:min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LC50</a:t>
                </a:r>
                <a:r>
                  <a:rPr lang="en-US" sz="1000" baseline="0"/>
                  <a:t> (</a:t>
                </a:r>
                <a:r>
                  <a:rPr lang="en-US" sz="1000"/>
                  <a:t>ng/L)</a:t>
                </a:r>
              </a:p>
            </c:rich>
          </c:tx>
          <c:layout>
            <c:manualLayout>
              <c:xMode val="edge"/>
              <c:yMode val="edge"/>
              <c:x val="6.3878168670250621E-3"/>
              <c:y val="0.4020995371123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69440"/>
        <c:crosses val="autoZero"/>
        <c:crossBetween val="midCat"/>
      </c:valAx>
      <c:spPr>
        <a:solidFill>
          <a:schemeClr val="lt1"/>
        </a:solidFill>
        <a:ln w="25400" cap="sq" cmpd="sng" algn="ctr">
          <a:gradFill>
            <a:gsLst>
              <a:gs pos="2000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4263058666962405"/>
          <c:y val="0.14974550518345447"/>
          <c:w val="0.18585550274775076"/>
          <c:h val="0.22429083365729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noFill/>
      <a:prstDash val="solid"/>
      <a:round/>
    </a:ln>
    <a:effectLst/>
  </c:spPr>
  <c:txPr>
    <a:bodyPr/>
    <a:lstStyle/>
    <a:p>
      <a:pPr>
        <a:defRPr sz="14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103</xdr:row>
      <xdr:rowOff>0</xdr:rowOff>
    </xdr:from>
    <xdr:to>
      <xdr:col>38</xdr:col>
      <xdr:colOff>315686</xdr:colOff>
      <xdr:row>143</xdr:row>
      <xdr:rowOff>46265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F594279-FC8B-4C39-9A49-918DEC090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403454</xdr:colOff>
      <xdr:row>2</xdr:row>
      <xdr:rowOff>518239</xdr:rowOff>
    </xdr:from>
    <xdr:to>
      <xdr:col>19</xdr:col>
      <xdr:colOff>262114</xdr:colOff>
      <xdr:row>21</xdr:row>
      <xdr:rowOff>117685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5745D48-85BF-4382-A05B-D8C0032908D3}"/>
            </a:ext>
          </a:extLst>
        </xdr:cNvPr>
        <xdr:cNvGrpSpPr/>
      </xdr:nvGrpSpPr>
      <xdr:grpSpPr>
        <a:xfrm>
          <a:off x="10633304" y="1480264"/>
          <a:ext cx="7307210" cy="6057396"/>
          <a:chOff x="7687030" y="2123112"/>
          <a:chExt cx="7684662" cy="6041837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A3EB7801-FD7C-4A10-B995-77EA1192C075}"/>
              </a:ext>
            </a:extLst>
          </xdr:cNvPr>
          <xdr:cNvGraphicFramePr>
            <a:graphicFrameLocks/>
          </xdr:cNvGraphicFramePr>
        </xdr:nvGraphicFramePr>
        <xdr:xfrm>
          <a:off x="7799428" y="2215801"/>
          <a:ext cx="3818019" cy="301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A749458B-DAA6-4FA0-98CB-187344FEA62C}"/>
              </a:ext>
            </a:extLst>
          </xdr:cNvPr>
          <xdr:cNvGraphicFramePr>
            <a:graphicFrameLocks/>
          </xdr:cNvGraphicFramePr>
        </xdr:nvGraphicFramePr>
        <xdr:xfrm>
          <a:off x="11434127" y="2123112"/>
          <a:ext cx="3865466" cy="30175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8" name="Chart 17">
            <a:extLst>
              <a:ext uri="{FF2B5EF4-FFF2-40B4-BE49-F238E27FC236}">
                <a16:creationId xmlns:a16="http://schemas.microsoft.com/office/drawing/2014/main" id="{163BD97C-214E-49FA-B3D6-BC5F6EB5DD83}"/>
              </a:ext>
            </a:extLst>
          </xdr:cNvPr>
          <xdr:cNvGraphicFramePr>
            <a:graphicFrameLocks/>
          </xdr:cNvGraphicFramePr>
        </xdr:nvGraphicFramePr>
        <xdr:xfrm>
          <a:off x="7687030" y="5114361"/>
          <a:ext cx="3840480" cy="30175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9" name="Chart 18">
            <a:extLst>
              <a:ext uri="{FF2B5EF4-FFF2-40B4-BE49-F238E27FC236}">
                <a16:creationId xmlns:a16="http://schemas.microsoft.com/office/drawing/2014/main" id="{ED5808E9-7681-40C0-BE37-8FEE0AA9864D}"/>
              </a:ext>
            </a:extLst>
          </xdr:cNvPr>
          <xdr:cNvGraphicFramePr>
            <a:graphicFrameLocks/>
          </xdr:cNvGraphicFramePr>
        </xdr:nvGraphicFramePr>
        <xdr:xfrm>
          <a:off x="11531212" y="5147429"/>
          <a:ext cx="3840480" cy="30175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oneCellAnchor>
    <xdr:from>
      <xdr:col>14</xdr:col>
      <xdr:colOff>234950</xdr:colOff>
      <xdr:row>3</xdr:row>
      <xdr:rowOff>309034</xdr:rowOff>
    </xdr:from>
    <xdr:ext cx="26629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D97611-6906-452E-A2CD-A374BA349289}"/>
            </a:ext>
          </a:extLst>
        </xdr:cNvPr>
        <xdr:cNvSpPr txBox="1"/>
      </xdr:nvSpPr>
      <xdr:spPr>
        <a:xfrm>
          <a:off x="13072533" y="2055284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17</xdr:col>
      <xdr:colOff>774288</xdr:colOff>
      <xdr:row>4</xdr:row>
      <xdr:rowOff>694211</xdr:rowOff>
    </xdr:from>
    <xdr:ext cx="259879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97B1A16-2162-4267-A163-5A9EF280B902}"/>
            </a:ext>
          </a:extLst>
        </xdr:cNvPr>
        <xdr:cNvSpPr txBox="1"/>
      </xdr:nvSpPr>
      <xdr:spPr>
        <a:xfrm>
          <a:off x="16846138" y="3246911"/>
          <a:ext cx="259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oneCellAnchor>
    <xdr:from>
      <xdr:col>17</xdr:col>
      <xdr:colOff>691738</xdr:colOff>
      <xdr:row>4</xdr:row>
      <xdr:rowOff>101545</xdr:rowOff>
    </xdr:from>
    <xdr:ext cx="26629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CF994A7-4B5E-4DEC-B5C8-A75F3AA47C08}"/>
            </a:ext>
          </a:extLst>
        </xdr:cNvPr>
        <xdr:cNvSpPr txBox="1"/>
      </xdr:nvSpPr>
      <xdr:spPr>
        <a:xfrm>
          <a:off x="16799571" y="2652128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18</xdr:col>
      <xdr:colOff>689621</xdr:colOff>
      <xdr:row>5</xdr:row>
      <xdr:rowOff>88844</xdr:rowOff>
    </xdr:from>
    <xdr:ext cx="3366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AE413DE-6F1E-4DD4-9A4E-0E3ED8D0C58F}"/>
            </a:ext>
          </a:extLst>
        </xdr:cNvPr>
        <xdr:cNvSpPr txBox="1"/>
      </xdr:nvSpPr>
      <xdr:spPr>
        <a:xfrm>
          <a:off x="17887538" y="3507261"/>
          <a:ext cx="336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BC</a:t>
          </a:r>
        </a:p>
      </xdr:txBody>
    </xdr:sp>
    <xdr:clientData/>
  </xdr:oneCellAnchor>
  <xdr:oneCellAnchor>
    <xdr:from>
      <xdr:col>18</xdr:col>
      <xdr:colOff>609188</xdr:colOff>
      <xdr:row>4</xdr:row>
      <xdr:rowOff>86728</xdr:rowOff>
    </xdr:from>
    <xdr:ext cx="26629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37802CF-EFE0-4E56-BBF8-0C2F90CB012B}"/>
            </a:ext>
          </a:extLst>
        </xdr:cNvPr>
        <xdr:cNvSpPr txBox="1"/>
      </xdr:nvSpPr>
      <xdr:spPr>
        <a:xfrm>
          <a:off x="17807105" y="2637311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14</xdr:col>
      <xdr:colOff>350955</xdr:colOff>
      <xdr:row>4</xdr:row>
      <xdr:rowOff>622244</xdr:rowOff>
    </xdr:from>
    <xdr:ext cx="261418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39BFC62-085F-471A-887A-F89F4C9ED06B}"/>
            </a:ext>
          </a:extLst>
        </xdr:cNvPr>
        <xdr:cNvSpPr txBox="1"/>
      </xdr:nvSpPr>
      <xdr:spPr>
        <a:xfrm>
          <a:off x="13188538" y="3172827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  <xdr:oneCellAnchor>
    <xdr:from>
      <xdr:col>13</xdr:col>
      <xdr:colOff>448321</xdr:colOff>
      <xdr:row>4</xdr:row>
      <xdr:rowOff>632828</xdr:rowOff>
    </xdr:from>
    <xdr:ext cx="26629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AAF4632-DDE2-4D72-8FED-BCDEE43B025B}"/>
            </a:ext>
          </a:extLst>
        </xdr:cNvPr>
        <xdr:cNvSpPr txBox="1"/>
      </xdr:nvSpPr>
      <xdr:spPr>
        <a:xfrm>
          <a:off x="12195821" y="3183411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13</xdr:col>
      <xdr:colOff>350955</xdr:colOff>
      <xdr:row>3</xdr:row>
      <xdr:rowOff>774644</xdr:rowOff>
    </xdr:from>
    <xdr:ext cx="26629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7B6BFE8-75A4-48B4-BAD9-3F2745F56703}"/>
            </a:ext>
          </a:extLst>
        </xdr:cNvPr>
        <xdr:cNvSpPr txBox="1"/>
      </xdr:nvSpPr>
      <xdr:spPr>
        <a:xfrm>
          <a:off x="12098455" y="2520894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15</xdr:col>
      <xdr:colOff>124472</xdr:colOff>
      <xdr:row>4</xdr:row>
      <xdr:rowOff>222195</xdr:rowOff>
    </xdr:from>
    <xdr:ext cx="26629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4B1462D-FD27-487A-88C2-94B7024965FF}"/>
            </a:ext>
          </a:extLst>
        </xdr:cNvPr>
        <xdr:cNvSpPr txBox="1"/>
      </xdr:nvSpPr>
      <xdr:spPr>
        <a:xfrm>
          <a:off x="14052139" y="2772778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15</xdr:col>
      <xdr:colOff>213371</xdr:colOff>
      <xdr:row>4</xdr:row>
      <xdr:rowOff>759828</xdr:rowOff>
    </xdr:from>
    <xdr:ext cx="26629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E5BBDEB-88AF-4EA0-A6D3-E8577E9CEC58}"/>
            </a:ext>
          </a:extLst>
        </xdr:cNvPr>
        <xdr:cNvSpPr txBox="1"/>
      </xdr:nvSpPr>
      <xdr:spPr>
        <a:xfrm>
          <a:off x="14141038" y="3310411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13</xdr:col>
      <xdr:colOff>355187</xdr:colOff>
      <xdr:row>16</xdr:row>
      <xdr:rowOff>90961</xdr:rowOff>
    </xdr:from>
    <xdr:ext cx="26629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17E370-25AA-4AFD-A7B8-2E902F5F14BF}"/>
            </a:ext>
          </a:extLst>
        </xdr:cNvPr>
        <xdr:cNvSpPr txBox="1"/>
      </xdr:nvSpPr>
      <xdr:spPr>
        <a:xfrm>
          <a:off x="12050638" y="6503420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14</xdr:col>
      <xdr:colOff>285338</xdr:colOff>
      <xdr:row>16</xdr:row>
      <xdr:rowOff>148111</xdr:rowOff>
    </xdr:from>
    <xdr:ext cx="26629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1EBFD38-F02E-486F-8884-AC9C867282ED}"/>
            </a:ext>
          </a:extLst>
        </xdr:cNvPr>
        <xdr:cNvSpPr txBox="1"/>
      </xdr:nvSpPr>
      <xdr:spPr>
        <a:xfrm>
          <a:off x="13122921" y="6529861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15</xdr:col>
      <xdr:colOff>130821</xdr:colOff>
      <xdr:row>11</xdr:row>
      <xdr:rowOff>4178</xdr:rowOff>
    </xdr:from>
    <xdr:ext cx="261418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6B11D7D0-660F-4A83-9AC5-B04DA2214CB5}"/>
            </a:ext>
          </a:extLst>
        </xdr:cNvPr>
        <xdr:cNvSpPr txBox="1"/>
      </xdr:nvSpPr>
      <xdr:spPr>
        <a:xfrm>
          <a:off x="14012337" y="5492764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  <xdr:oneCellAnchor>
    <xdr:from>
      <xdr:col>15</xdr:col>
      <xdr:colOff>171038</xdr:colOff>
      <xdr:row>15</xdr:row>
      <xdr:rowOff>167161</xdr:rowOff>
    </xdr:from>
    <xdr:ext cx="26629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BBCD4A6-FC9B-48A4-9248-149EF0A26457}"/>
            </a:ext>
          </a:extLst>
        </xdr:cNvPr>
        <xdr:cNvSpPr txBox="1"/>
      </xdr:nvSpPr>
      <xdr:spPr>
        <a:xfrm>
          <a:off x="14098705" y="6368994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14</xdr:col>
      <xdr:colOff>249355</xdr:colOff>
      <xdr:row>14</xdr:row>
      <xdr:rowOff>107894</xdr:rowOff>
    </xdr:from>
    <xdr:ext cx="26629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8085654-252E-4753-B375-2896492AC8EE}"/>
            </a:ext>
          </a:extLst>
        </xdr:cNvPr>
        <xdr:cNvSpPr txBox="1"/>
      </xdr:nvSpPr>
      <xdr:spPr>
        <a:xfrm>
          <a:off x="13037839" y="6150804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13</xdr:col>
      <xdr:colOff>348839</xdr:colOff>
      <xdr:row>14</xdr:row>
      <xdr:rowOff>27461</xdr:rowOff>
    </xdr:from>
    <xdr:ext cx="26629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922ED78-7CD8-4C02-BBD0-B22A2DD9FFAD}"/>
            </a:ext>
          </a:extLst>
        </xdr:cNvPr>
        <xdr:cNvSpPr txBox="1"/>
      </xdr:nvSpPr>
      <xdr:spPr>
        <a:xfrm>
          <a:off x="12096339" y="6049378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17</xdr:col>
      <xdr:colOff>662103</xdr:colOff>
      <xdr:row>13</xdr:row>
      <xdr:rowOff>132333</xdr:rowOff>
    </xdr:from>
    <xdr:ext cx="261418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9936BF0-B6A2-4DFC-AA3F-A7442F69831D}"/>
            </a:ext>
          </a:extLst>
        </xdr:cNvPr>
        <xdr:cNvSpPr txBox="1"/>
      </xdr:nvSpPr>
      <xdr:spPr>
        <a:xfrm>
          <a:off x="16724717" y="5985878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  <xdr:oneCellAnchor>
    <xdr:from>
      <xdr:col>16</xdr:col>
      <xdr:colOff>896284</xdr:colOff>
      <xdr:row>16</xdr:row>
      <xdr:rowOff>151960</xdr:rowOff>
    </xdr:from>
    <xdr:ext cx="26629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40054DD-BD98-457D-B5AB-337CEEE5EEF8}"/>
            </a:ext>
          </a:extLst>
        </xdr:cNvPr>
        <xdr:cNvSpPr txBox="1"/>
      </xdr:nvSpPr>
      <xdr:spPr>
        <a:xfrm>
          <a:off x="15914034" y="6533710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oneCellAnchor>
    <xdr:from>
      <xdr:col>18</xdr:col>
      <xdr:colOff>613422</xdr:colOff>
      <xdr:row>14</xdr:row>
      <xdr:rowOff>150997</xdr:rowOff>
    </xdr:from>
    <xdr:ext cx="261418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BABA544-B7BC-4112-A62B-D290547B5A50}"/>
            </a:ext>
          </a:extLst>
        </xdr:cNvPr>
        <xdr:cNvSpPr txBox="1"/>
      </xdr:nvSpPr>
      <xdr:spPr>
        <a:xfrm>
          <a:off x="17767081" y="6189270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0.27376</cdr:x>
      <cdr:y>0.50637</cdr:y>
    </cdr:from>
    <cdr:to>
      <cdr:x>0.31473</cdr:x>
      <cdr:y>0.51756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28FB2A-DB58-45BA-B24A-150A223F31D5}"/>
            </a:ext>
          </a:extLst>
        </cdr:cNvPr>
        <cdr:cNvSpPr txBox="1"/>
      </cdr:nvSpPr>
      <cdr:spPr>
        <a:xfrm xmlns:a="http://schemas.openxmlformats.org/drawingml/2006/main">
          <a:off x="3323167" y="3831167"/>
          <a:ext cx="497417" cy="84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0.27376</cdr:x>
      <cdr:y>0.50637</cdr:y>
    </cdr:from>
    <cdr:to>
      <cdr:x>0.31473</cdr:x>
      <cdr:y>0.51756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28FB2A-DB58-45BA-B24A-150A223F31D5}"/>
            </a:ext>
          </a:extLst>
        </cdr:cNvPr>
        <cdr:cNvSpPr txBox="1"/>
      </cdr:nvSpPr>
      <cdr:spPr>
        <a:xfrm xmlns:a="http://schemas.openxmlformats.org/drawingml/2006/main">
          <a:off x="3323167" y="3831167"/>
          <a:ext cx="497417" cy="84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  <cdr:relSizeAnchor xmlns:cdr="http://schemas.openxmlformats.org/drawingml/2006/chartDrawing">
    <cdr:from>
      <cdr:x>0.33748</cdr:x>
      <cdr:y>0.78986</cdr:y>
    </cdr:from>
    <cdr:to>
      <cdr:x>0.40558</cdr:x>
      <cdr:y>0.87854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1D97611-6906-452E-A2CD-A374BA349289}"/>
            </a:ext>
          </a:extLst>
        </cdr:cNvPr>
        <cdr:cNvSpPr txBox="1"/>
      </cdr:nvSpPr>
      <cdr:spPr>
        <a:xfrm xmlns:a="http://schemas.openxmlformats.org/drawingml/2006/main">
          <a:off x="1294689" y="2338752"/>
          <a:ext cx="261274" cy="2625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</a:t>
          </a:r>
        </a:p>
      </cdr:txBody>
    </cdr:sp>
  </cdr:relSizeAnchor>
  <cdr:relSizeAnchor xmlns:cdr="http://schemas.openxmlformats.org/drawingml/2006/chartDrawing">
    <cdr:from>
      <cdr:x>0.32921</cdr:x>
      <cdr:y>0.44913</cdr:y>
    </cdr:from>
    <cdr:to>
      <cdr:x>0.39858</cdr:x>
      <cdr:y>0.53781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1D97611-6906-452E-A2CD-A374BA349289}"/>
            </a:ext>
          </a:extLst>
        </cdr:cNvPr>
        <cdr:cNvSpPr txBox="1"/>
      </cdr:nvSpPr>
      <cdr:spPr>
        <a:xfrm xmlns:a="http://schemas.openxmlformats.org/drawingml/2006/main">
          <a:off x="1263650" y="1339850"/>
          <a:ext cx="26629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0.27376</cdr:x>
      <cdr:y>0.50637</cdr:y>
    </cdr:from>
    <cdr:to>
      <cdr:x>0.31473</cdr:x>
      <cdr:y>0.51756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28FB2A-DB58-45BA-B24A-150A223F31D5}"/>
            </a:ext>
          </a:extLst>
        </cdr:cNvPr>
        <cdr:cNvSpPr txBox="1"/>
      </cdr:nvSpPr>
      <cdr:spPr>
        <a:xfrm xmlns:a="http://schemas.openxmlformats.org/drawingml/2006/main">
          <a:off x="3323167" y="3831167"/>
          <a:ext cx="497417" cy="84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0.27376</cdr:x>
      <cdr:y>0.50637</cdr:y>
    </cdr:from>
    <cdr:to>
      <cdr:x>0.31473</cdr:x>
      <cdr:y>0.51756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28FB2A-DB58-45BA-B24A-150A223F31D5}"/>
            </a:ext>
          </a:extLst>
        </cdr:cNvPr>
        <cdr:cNvSpPr txBox="1"/>
      </cdr:nvSpPr>
      <cdr:spPr>
        <a:xfrm xmlns:a="http://schemas.openxmlformats.org/drawingml/2006/main">
          <a:off x="3323167" y="3831167"/>
          <a:ext cx="497417" cy="84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Kent, Logan N" id="{1BE09B75-9EFB-4D01-8D98-49020ADA81B0}" userId="Kent, Logan N" providerId="None"/>
  <person displayName="Logan Kent" id="{2196E7C7-6D9D-4551-B3A9-E59BDE67CACE}" userId="c9ed29eb5173fa82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9"/>
  <sheetViews>
    <sheetView tabSelected="1" topLeftCell="A37" workbookViewId="0">
      <selection activeCell="B60" sqref="B60"/>
    </sheetView>
  </sheetViews>
  <sheetFormatPr defaultRowHeight="15" x14ac:dyDescent="0.25"/>
  <cols>
    <col min="1" max="1" width="24.140625" customWidth="1"/>
    <col min="2" max="2" width="106.28515625" customWidth="1"/>
  </cols>
  <sheetData>
    <row r="1" spans="1:3" x14ac:dyDescent="0.25">
      <c r="A1" t="s">
        <v>299</v>
      </c>
      <c r="B1" s="239" t="s">
        <v>358</v>
      </c>
    </row>
    <row r="2" spans="1:3" x14ac:dyDescent="0.25">
      <c r="A2" t="s">
        <v>289</v>
      </c>
      <c r="B2" s="239" t="s">
        <v>361</v>
      </c>
      <c r="C2" s="238"/>
    </row>
    <row r="3" spans="1:3" x14ac:dyDescent="0.25">
      <c r="A3" t="s">
        <v>290</v>
      </c>
      <c r="B3" s="238" t="s">
        <v>362</v>
      </c>
    </row>
    <row r="4" spans="1:3" x14ac:dyDescent="0.25">
      <c r="A4">
        <v>1</v>
      </c>
      <c r="B4" t="s">
        <v>302</v>
      </c>
    </row>
    <row r="5" spans="1:3" x14ac:dyDescent="0.25">
      <c r="A5">
        <v>2</v>
      </c>
      <c r="B5" t="s">
        <v>303</v>
      </c>
    </row>
    <row r="6" spans="1:3" x14ac:dyDescent="0.25">
      <c r="A6">
        <v>3</v>
      </c>
      <c r="B6" t="s">
        <v>304</v>
      </c>
    </row>
    <row r="7" spans="1:3" x14ac:dyDescent="0.25">
      <c r="A7">
        <v>4</v>
      </c>
      <c r="B7" t="s">
        <v>305</v>
      </c>
    </row>
    <row r="8" spans="1:3" x14ac:dyDescent="0.25">
      <c r="A8">
        <v>5</v>
      </c>
      <c r="B8" t="s">
        <v>306</v>
      </c>
    </row>
    <row r="9" spans="1:3" x14ac:dyDescent="0.25">
      <c r="A9">
        <v>6</v>
      </c>
      <c r="B9" t="s">
        <v>307</v>
      </c>
    </row>
    <row r="10" spans="1:3" x14ac:dyDescent="0.25">
      <c r="A10">
        <v>7</v>
      </c>
      <c r="B10" s="14" t="s">
        <v>308</v>
      </c>
    </row>
    <row r="11" spans="1:3" x14ac:dyDescent="0.25">
      <c r="A11">
        <v>8</v>
      </c>
      <c r="B11" s="14" t="s">
        <v>309</v>
      </c>
    </row>
    <row r="12" spans="1:3" x14ac:dyDescent="0.25">
      <c r="A12">
        <v>9</v>
      </c>
      <c r="B12" s="14" t="s">
        <v>310</v>
      </c>
    </row>
    <row r="13" spans="1:3" x14ac:dyDescent="0.25">
      <c r="A13">
        <v>10</v>
      </c>
      <c r="B13" t="s">
        <v>311</v>
      </c>
    </row>
    <row r="14" spans="1:3" x14ac:dyDescent="0.25">
      <c r="A14">
        <v>11</v>
      </c>
      <c r="B14" t="s">
        <v>312</v>
      </c>
    </row>
    <row r="15" spans="1:3" x14ac:dyDescent="0.25">
      <c r="A15">
        <v>12</v>
      </c>
      <c r="B15" t="s">
        <v>313</v>
      </c>
    </row>
    <row r="16" spans="1:3" x14ac:dyDescent="0.25">
      <c r="A16">
        <v>13</v>
      </c>
      <c r="B16" s="238" t="s">
        <v>314</v>
      </c>
    </row>
    <row r="17" spans="1:2" x14ac:dyDescent="0.25">
      <c r="A17">
        <v>14</v>
      </c>
      <c r="B17" t="s">
        <v>315</v>
      </c>
    </row>
    <row r="18" spans="1:2" x14ac:dyDescent="0.25">
      <c r="A18">
        <v>15</v>
      </c>
      <c r="B18" t="s">
        <v>316</v>
      </c>
    </row>
    <row r="19" spans="1:2" x14ac:dyDescent="0.25">
      <c r="A19">
        <v>16</v>
      </c>
      <c r="B19" t="s">
        <v>317</v>
      </c>
    </row>
    <row r="20" spans="1:2" x14ac:dyDescent="0.25">
      <c r="A20">
        <v>17</v>
      </c>
      <c r="B20" t="s">
        <v>318</v>
      </c>
    </row>
    <row r="21" spans="1:2" x14ac:dyDescent="0.25">
      <c r="A21">
        <v>18</v>
      </c>
      <c r="B21" t="s">
        <v>319</v>
      </c>
    </row>
    <row r="22" spans="1:2" x14ac:dyDescent="0.25">
      <c r="A22">
        <v>19</v>
      </c>
      <c r="B22" t="s">
        <v>320</v>
      </c>
    </row>
    <row r="23" spans="1:2" x14ac:dyDescent="0.25">
      <c r="A23">
        <v>20</v>
      </c>
      <c r="B23" t="s">
        <v>321</v>
      </c>
    </row>
    <row r="24" spans="1:2" x14ac:dyDescent="0.25">
      <c r="A24">
        <v>21</v>
      </c>
      <c r="B24" s="251" t="s">
        <v>322</v>
      </c>
    </row>
    <row r="25" spans="1:2" x14ac:dyDescent="0.25">
      <c r="A25">
        <v>22</v>
      </c>
      <c r="B25" t="s">
        <v>323</v>
      </c>
    </row>
    <row r="26" spans="1:2" x14ac:dyDescent="0.25">
      <c r="A26">
        <v>23</v>
      </c>
      <c r="B26" s="251" t="s">
        <v>324</v>
      </c>
    </row>
    <row r="27" spans="1:2" x14ac:dyDescent="0.25">
      <c r="A27">
        <v>24</v>
      </c>
      <c r="B27" t="s">
        <v>327</v>
      </c>
    </row>
    <row r="28" spans="1:2" x14ac:dyDescent="0.25">
      <c r="A28">
        <v>25</v>
      </c>
      <c r="B28" s="251" t="s">
        <v>325</v>
      </c>
    </row>
    <row r="29" spans="1:2" x14ac:dyDescent="0.25">
      <c r="A29">
        <v>26</v>
      </c>
      <c r="B29" t="s">
        <v>326</v>
      </c>
    </row>
    <row r="30" spans="1:2" x14ac:dyDescent="0.25">
      <c r="A30">
        <v>27</v>
      </c>
      <c r="B30" s="251" t="s">
        <v>328</v>
      </c>
    </row>
    <row r="31" spans="1:2" x14ac:dyDescent="0.25">
      <c r="A31">
        <v>28</v>
      </c>
      <c r="B31" t="s">
        <v>329</v>
      </c>
    </row>
    <row r="32" spans="1:2" x14ac:dyDescent="0.25">
      <c r="A32">
        <v>29</v>
      </c>
      <c r="B32" s="251" t="s">
        <v>330</v>
      </c>
    </row>
    <row r="33" spans="1:2" x14ac:dyDescent="0.25">
      <c r="A33">
        <v>30</v>
      </c>
      <c r="B33" t="s">
        <v>331</v>
      </c>
    </row>
    <row r="34" spans="1:2" x14ac:dyDescent="0.25">
      <c r="A34">
        <v>31</v>
      </c>
      <c r="B34" s="251" t="s">
        <v>332</v>
      </c>
    </row>
    <row r="35" spans="1:2" x14ac:dyDescent="0.25">
      <c r="A35">
        <v>32</v>
      </c>
      <c r="B35" t="s">
        <v>333</v>
      </c>
    </row>
    <row r="36" spans="1:2" x14ac:dyDescent="0.25">
      <c r="A36">
        <v>33</v>
      </c>
      <c r="B36" s="251" t="s">
        <v>334</v>
      </c>
    </row>
    <row r="37" spans="1:2" x14ac:dyDescent="0.25">
      <c r="A37">
        <v>34</v>
      </c>
      <c r="B37" t="s">
        <v>335</v>
      </c>
    </row>
    <row r="38" spans="1:2" x14ac:dyDescent="0.25">
      <c r="A38">
        <v>35</v>
      </c>
      <c r="B38" s="251" t="s">
        <v>336</v>
      </c>
    </row>
    <row r="39" spans="1:2" x14ac:dyDescent="0.25">
      <c r="A39">
        <v>36</v>
      </c>
      <c r="B39" t="s">
        <v>337</v>
      </c>
    </row>
    <row r="40" spans="1:2" x14ac:dyDescent="0.25">
      <c r="A40">
        <v>37</v>
      </c>
      <c r="B40" s="251" t="s">
        <v>338</v>
      </c>
    </row>
    <row r="41" spans="1:2" x14ac:dyDescent="0.25">
      <c r="A41">
        <v>38</v>
      </c>
      <c r="B41" t="s">
        <v>339</v>
      </c>
    </row>
    <row r="42" spans="1:2" x14ac:dyDescent="0.25">
      <c r="A42">
        <v>39</v>
      </c>
      <c r="B42" s="251" t="s">
        <v>340</v>
      </c>
    </row>
    <row r="43" spans="1:2" x14ac:dyDescent="0.25">
      <c r="A43">
        <v>40</v>
      </c>
      <c r="B43" t="s">
        <v>341</v>
      </c>
    </row>
    <row r="44" spans="1:2" x14ac:dyDescent="0.25">
      <c r="A44">
        <v>41</v>
      </c>
      <c r="B44" s="251" t="s">
        <v>342</v>
      </c>
    </row>
    <row r="45" spans="1:2" x14ac:dyDescent="0.25">
      <c r="A45">
        <v>42</v>
      </c>
      <c r="B45" t="s">
        <v>343</v>
      </c>
    </row>
    <row r="46" spans="1:2" x14ac:dyDescent="0.25">
      <c r="A46">
        <v>43</v>
      </c>
      <c r="B46" s="251" t="s">
        <v>344</v>
      </c>
    </row>
    <row r="47" spans="1:2" x14ac:dyDescent="0.25">
      <c r="A47">
        <v>44</v>
      </c>
      <c r="B47" t="s">
        <v>345</v>
      </c>
    </row>
    <row r="51" spans="1:2" x14ac:dyDescent="0.25">
      <c r="A51" t="s">
        <v>291</v>
      </c>
      <c r="B51" s="240">
        <v>2021</v>
      </c>
    </row>
    <row r="52" spans="1:2" x14ac:dyDescent="0.25">
      <c r="A52" t="s">
        <v>292</v>
      </c>
      <c r="B52" t="s">
        <v>293</v>
      </c>
    </row>
    <row r="53" spans="1:2" x14ac:dyDescent="0.25">
      <c r="A53" t="s">
        <v>294</v>
      </c>
      <c r="B53" t="s">
        <v>360</v>
      </c>
    </row>
    <row r="54" spans="1:2" x14ac:dyDescent="0.25">
      <c r="A54" t="s">
        <v>295</v>
      </c>
      <c r="B54" s="236" t="s">
        <v>296</v>
      </c>
    </row>
    <row r="55" spans="1:2" x14ac:dyDescent="0.25">
      <c r="A55" t="s">
        <v>297</v>
      </c>
      <c r="B55" t="s">
        <v>300</v>
      </c>
    </row>
    <row r="56" spans="1:2" x14ac:dyDescent="0.25">
      <c r="A56" t="s">
        <v>298</v>
      </c>
      <c r="B56" s="237" t="s">
        <v>359</v>
      </c>
    </row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  <row r="104" spans="2:2" x14ac:dyDescent="0.25">
      <c r="B104" s="14"/>
    </row>
    <row r="105" spans="2:2" x14ac:dyDescent="0.25">
      <c r="B105" s="14"/>
    </row>
    <row r="106" spans="2:2" x14ac:dyDescent="0.25">
      <c r="B106" s="14"/>
    </row>
    <row r="107" spans="2:2" x14ac:dyDescent="0.25">
      <c r="B107" s="14"/>
    </row>
    <row r="108" spans="2:2" x14ac:dyDescent="0.25">
      <c r="B108" s="14"/>
    </row>
    <row r="109" spans="2:2" x14ac:dyDescent="0.25">
      <c r="B109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zoomScale="60" zoomScaleNormal="60" workbookViewId="0">
      <selection activeCell="H19" sqref="H19"/>
    </sheetView>
  </sheetViews>
  <sheetFormatPr defaultRowHeight="15" x14ac:dyDescent="0.25"/>
  <cols>
    <col min="1" max="1" width="35.28515625" customWidth="1"/>
    <col min="2" max="2" width="19.28515625" customWidth="1"/>
    <col min="3" max="3" width="16.42578125" bestFit="1" customWidth="1"/>
    <col min="4" max="4" width="15.42578125" bestFit="1" customWidth="1"/>
    <col min="7" max="7" width="32.140625" customWidth="1"/>
    <col min="8" max="8" width="20.42578125" customWidth="1"/>
    <col min="9" max="10" width="15.42578125" customWidth="1"/>
  </cols>
  <sheetData>
    <row r="1" spans="1:13" x14ac:dyDescent="0.25">
      <c r="A1" s="246" t="s">
        <v>186</v>
      </c>
      <c r="B1" s="247" t="s">
        <v>188</v>
      </c>
      <c r="C1" s="247"/>
      <c r="D1" s="247"/>
      <c r="E1" s="11"/>
      <c r="F1" s="11"/>
      <c r="G1" s="243" t="s">
        <v>192</v>
      </c>
      <c r="H1" s="243" t="s">
        <v>188</v>
      </c>
      <c r="I1" s="243"/>
      <c r="J1" s="243"/>
    </row>
    <row r="2" spans="1:13" x14ac:dyDescent="0.25">
      <c r="A2" s="247" t="s">
        <v>187</v>
      </c>
      <c r="B2" s="247">
        <v>18</v>
      </c>
      <c r="C2" s="247">
        <v>23</v>
      </c>
      <c r="D2" s="247">
        <v>28</v>
      </c>
      <c r="E2" s="11"/>
      <c r="F2" s="11"/>
      <c r="G2" s="243" t="s">
        <v>187</v>
      </c>
      <c r="H2" s="243">
        <v>18</v>
      </c>
      <c r="I2" s="243">
        <v>23</v>
      </c>
      <c r="J2" s="243">
        <v>28</v>
      </c>
    </row>
    <row r="3" spans="1:13" ht="60.95" customHeight="1" x14ac:dyDescent="0.25">
      <c r="A3" s="247">
        <v>0.2</v>
      </c>
      <c r="B3" s="147" t="s">
        <v>238</v>
      </c>
      <c r="C3" s="147" t="s">
        <v>239</v>
      </c>
      <c r="D3" s="147" t="s">
        <v>240</v>
      </c>
      <c r="E3" s="11"/>
      <c r="F3" s="11"/>
      <c r="G3" s="243">
        <v>0.2</v>
      </c>
      <c r="H3" s="144" t="s">
        <v>193</v>
      </c>
      <c r="I3" s="144" t="s">
        <v>194</v>
      </c>
      <c r="J3" s="144" t="s">
        <v>195</v>
      </c>
    </row>
    <row r="4" spans="1:13" ht="65.25" customHeight="1" x14ac:dyDescent="0.25">
      <c r="A4" s="247">
        <v>1</v>
      </c>
      <c r="B4" s="147" t="s">
        <v>223</v>
      </c>
      <c r="C4" s="147" t="s">
        <v>233</v>
      </c>
      <c r="D4" s="147" t="s">
        <v>224</v>
      </c>
      <c r="E4" s="11"/>
      <c r="F4" s="11"/>
      <c r="G4" s="243">
        <v>1</v>
      </c>
      <c r="H4" s="144" t="s">
        <v>196</v>
      </c>
      <c r="I4" s="144" t="s">
        <v>197</v>
      </c>
      <c r="J4" s="144" t="s">
        <v>198</v>
      </c>
    </row>
    <row r="5" spans="1:13" ht="83.25" customHeight="1" x14ac:dyDescent="0.25">
      <c r="A5" s="247">
        <v>6</v>
      </c>
      <c r="B5" s="147" t="s">
        <v>241</v>
      </c>
      <c r="C5" s="147" t="s">
        <v>243</v>
      </c>
      <c r="D5" s="147" t="s">
        <v>242</v>
      </c>
      <c r="E5" s="11"/>
      <c r="F5" s="11"/>
      <c r="G5" s="243">
        <v>6</v>
      </c>
      <c r="H5" s="144" t="s">
        <v>199</v>
      </c>
      <c r="I5" s="144" t="s">
        <v>200</v>
      </c>
      <c r="J5" s="144" t="s">
        <v>201</v>
      </c>
      <c r="M5" s="97"/>
    </row>
    <row r="6" spans="1:13" x14ac:dyDescent="0.25">
      <c r="A6" s="11"/>
      <c r="B6" s="11"/>
      <c r="C6" s="11"/>
      <c r="D6" s="11"/>
      <c r="E6" s="11"/>
      <c r="F6" s="11"/>
      <c r="G6" s="22"/>
      <c r="H6" s="22"/>
      <c r="I6" s="22"/>
      <c r="J6" s="22"/>
    </row>
    <row r="7" spans="1:13" x14ac:dyDescent="0.25">
      <c r="A7" s="11"/>
      <c r="B7" s="11"/>
      <c r="C7" s="11"/>
      <c r="D7" s="11"/>
      <c r="E7" s="11"/>
      <c r="F7" s="11"/>
      <c r="G7" s="22"/>
      <c r="H7" s="22"/>
      <c r="I7" s="22"/>
      <c r="J7" s="22"/>
    </row>
    <row r="8" spans="1:13" x14ac:dyDescent="0.25">
      <c r="A8" s="241" t="s">
        <v>217</v>
      </c>
      <c r="B8" s="242" t="s">
        <v>188</v>
      </c>
      <c r="C8" s="242"/>
      <c r="D8" s="242"/>
      <c r="E8" s="11"/>
      <c r="F8" s="11"/>
      <c r="G8" s="243" t="s">
        <v>203</v>
      </c>
      <c r="H8" s="243" t="s">
        <v>188</v>
      </c>
      <c r="I8" s="243"/>
      <c r="J8" s="243"/>
    </row>
    <row r="9" spans="1:13" x14ac:dyDescent="0.25">
      <c r="A9" s="242" t="s">
        <v>187</v>
      </c>
      <c r="B9" s="242">
        <v>18</v>
      </c>
      <c r="C9" s="242">
        <v>23</v>
      </c>
      <c r="D9" s="242">
        <v>28</v>
      </c>
      <c r="E9" s="11"/>
      <c r="F9" s="11"/>
      <c r="G9" s="243" t="s">
        <v>187</v>
      </c>
      <c r="H9" s="243">
        <v>18</v>
      </c>
      <c r="I9" s="243">
        <v>23</v>
      </c>
      <c r="J9" s="243">
        <v>28</v>
      </c>
    </row>
    <row r="10" spans="1:13" ht="63" x14ac:dyDescent="0.3">
      <c r="A10" s="242">
        <v>0.2</v>
      </c>
      <c r="B10" s="155" t="s">
        <v>222</v>
      </c>
      <c r="C10" s="145" t="s">
        <v>235</v>
      </c>
      <c r="D10" s="145" t="s">
        <v>234</v>
      </c>
      <c r="E10" s="11"/>
      <c r="F10" s="11"/>
      <c r="G10" s="243">
        <v>0.2</v>
      </c>
      <c r="H10" s="144" t="s">
        <v>244</v>
      </c>
      <c r="I10" s="144" t="s">
        <v>208</v>
      </c>
      <c r="J10" s="144" t="s">
        <v>245</v>
      </c>
    </row>
    <row r="11" spans="1:13" ht="66.75" customHeight="1" x14ac:dyDescent="0.25">
      <c r="A11" s="242">
        <v>1</v>
      </c>
      <c r="B11" s="145" t="s">
        <v>221</v>
      </c>
      <c r="C11" s="146" t="s">
        <v>236</v>
      </c>
      <c r="D11" s="145" t="s">
        <v>220</v>
      </c>
      <c r="E11" s="248"/>
      <c r="F11" s="248"/>
      <c r="G11" s="243">
        <v>1</v>
      </c>
      <c r="H11" s="144" t="s">
        <v>209</v>
      </c>
      <c r="I11" s="144" t="s">
        <v>210</v>
      </c>
      <c r="J11" s="144" t="s">
        <v>211</v>
      </c>
    </row>
    <row r="12" spans="1:13" ht="72.95" customHeight="1" x14ac:dyDescent="0.25">
      <c r="A12" s="242">
        <v>6</v>
      </c>
      <c r="B12" s="145" t="s">
        <v>219</v>
      </c>
      <c r="C12" s="145" t="s">
        <v>237</v>
      </c>
      <c r="D12" s="145" t="s">
        <v>218</v>
      </c>
      <c r="E12" s="11"/>
      <c r="F12" s="11"/>
      <c r="G12" s="243">
        <v>6</v>
      </c>
      <c r="H12" s="144" t="s">
        <v>202</v>
      </c>
      <c r="I12" s="144" t="s">
        <v>212</v>
      </c>
      <c r="J12" s="144" t="s">
        <v>213</v>
      </c>
    </row>
    <row r="15" spans="1:13" x14ac:dyDescent="0.25">
      <c r="A15" s="244" t="s">
        <v>259</v>
      </c>
      <c r="B15" s="245" t="s">
        <v>188</v>
      </c>
      <c r="C15" s="245"/>
      <c r="D15" s="245"/>
    </row>
    <row r="16" spans="1:13" x14ac:dyDescent="0.25">
      <c r="A16" s="245" t="s">
        <v>187</v>
      </c>
      <c r="B16" s="245">
        <v>18</v>
      </c>
      <c r="C16" s="245">
        <v>23</v>
      </c>
      <c r="D16" s="245">
        <v>28</v>
      </c>
    </row>
    <row r="17" spans="1:4" ht="21" x14ac:dyDescent="0.3">
      <c r="A17" s="245">
        <v>0.2</v>
      </c>
      <c r="B17" s="171" t="s">
        <v>53</v>
      </c>
      <c r="C17" s="172" t="s">
        <v>53</v>
      </c>
      <c r="D17" s="172" t="s">
        <v>53</v>
      </c>
    </row>
    <row r="18" spans="1:4" ht="21" x14ac:dyDescent="0.25">
      <c r="A18" s="245">
        <v>1</v>
      </c>
      <c r="B18" s="172" t="s">
        <v>53</v>
      </c>
      <c r="C18" s="173" t="s">
        <v>53</v>
      </c>
      <c r="D18" s="172" t="s">
        <v>53</v>
      </c>
    </row>
    <row r="19" spans="1:4" ht="69" customHeight="1" x14ac:dyDescent="0.25">
      <c r="A19" s="245">
        <v>6</v>
      </c>
      <c r="B19" s="172" t="s">
        <v>264</v>
      </c>
      <c r="C19" s="172" t="s">
        <v>260</v>
      </c>
      <c r="D19" s="172" t="s">
        <v>263</v>
      </c>
    </row>
    <row r="21" spans="1:4" x14ac:dyDescent="0.25">
      <c r="A21" t="s">
        <v>301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DUR62"/>
  <sheetViews>
    <sheetView topLeftCell="D9" zoomScaleNormal="100" zoomScaleSheetLayoutView="30" workbookViewId="0">
      <selection activeCell="R62" sqref="R62"/>
    </sheetView>
  </sheetViews>
  <sheetFormatPr defaultRowHeight="15" x14ac:dyDescent="0.25"/>
  <cols>
    <col min="2" max="2" width="23" customWidth="1"/>
    <col min="3" max="3" width="32.85546875" customWidth="1"/>
    <col min="4" max="4" width="24.42578125" customWidth="1"/>
    <col min="14" max="23" width="15.5703125" customWidth="1"/>
    <col min="40" max="40" width="8.85546875" customWidth="1"/>
    <col min="41" max="41" width="23.85546875" customWidth="1"/>
    <col min="42" max="42" width="22.42578125" customWidth="1"/>
    <col min="43" max="43" width="26.5703125" customWidth="1"/>
    <col min="73" max="73" width="20.140625" customWidth="1"/>
  </cols>
  <sheetData>
    <row r="1" spans="1:3268" x14ac:dyDescent="0.25">
      <c r="A1" s="16"/>
      <c r="B1" s="16"/>
      <c r="C1" s="16"/>
      <c r="D1" s="16"/>
    </row>
    <row r="2" spans="1:3268" ht="60.75" customHeight="1" x14ac:dyDescent="0.25">
      <c r="A2" s="16"/>
      <c r="B2" s="109"/>
      <c r="C2" s="109"/>
      <c r="D2" s="149"/>
    </row>
    <row r="3" spans="1:3268" ht="62.45" customHeight="1" x14ac:dyDescent="0.25">
      <c r="A3" s="16"/>
      <c r="B3" s="109"/>
      <c r="C3" s="109"/>
      <c r="D3" s="149"/>
    </row>
    <row r="4" spans="1:3268" ht="63.75" customHeight="1" x14ac:dyDescent="0.25">
      <c r="A4" s="16"/>
      <c r="B4" s="109"/>
      <c r="C4" s="109"/>
      <c r="D4" s="16"/>
      <c r="J4" s="205" t="s">
        <v>288</v>
      </c>
      <c r="BR4" s="35"/>
      <c r="BS4" s="35"/>
      <c r="BT4" s="35"/>
      <c r="BU4" s="35"/>
      <c r="BV4" s="35"/>
      <c r="BW4" s="35"/>
      <c r="BX4" s="35"/>
      <c r="BY4" s="35"/>
      <c r="BZ4" s="35"/>
    </row>
    <row r="5" spans="1:3268" ht="68.45" customHeight="1" x14ac:dyDescent="0.25">
      <c r="A5" s="16"/>
      <c r="B5" s="150"/>
      <c r="C5" s="109"/>
      <c r="D5" s="149"/>
      <c r="BR5" s="35"/>
      <c r="BS5" s="35"/>
      <c r="BT5" s="35"/>
      <c r="BU5" s="35"/>
      <c r="BV5" s="35"/>
      <c r="BW5" s="35"/>
      <c r="BX5" s="35"/>
      <c r="BY5" s="35"/>
      <c r="BZ5" s="35"/>
    </row>
    <row r="6" spans="1:3268" x14ac:dyDescent="0.25">
      <c r="A6" s="16"/>
      <c r="B6" s="149"/>
      <c r="C6" s="149"/>
      <c r="D6" s="149"/>
      <c r="BR6" s="35"/>
      <c r="BS6" s="35"/>
      <c r="BT6" s="35"/>
      <c r="BU6" s="35"/>
      <c r="BV6" s="35"/>
      <c r="BW6" s="35"/>
      <c r="BX6" s="35"/>
      <c r="BY6" s="35"/>
      <c r="BZ6" s="35"/>
    </row>
    <row r="7" spans="1:3268" ht="53.25" customHeight="1" x14ac:dyDescent="0.25">
      <c r="A7" s="16"/>
      <c r="B7" s="151"/>
      <c r="C7" s="149"/>
      <c r="D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35"/>
      <c r="BV7" s="35"/>
      <c r="BW7" s="35"/>
      <c r="BX7" s="35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</row>
    <row r="8" spans="1:3268" x14ac:dyDescent="0.25">
      <c r="A8" s="16"/>
      <c r="B8" s="109"/>
      <c r="C8" s="109"/>
      <c r="D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35"/>
      <c r="BV8" s="35"/>
      <c r="BW8" s="35"/>
      <c r="BX8" s="35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</row>
    <row r="9" spans="1:3268" ht="25.5" customHeight="1" x14ac:dyDescent="0.25">
      <c r="A9" s="16"/>
      <c r="B9" s="152"/>
      <c r="C9" s="16"/>
      <c r="D9" s="149"/>
      <c r="E9" s="35"/>
      <c r="F9" s="35"/>
      <c r="G9" s="35"/>
      <c r="H9" s="3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</row>
    <row r="10" spans="1:3268" ht="40.5" customHeight="1" x14ac:dyDescent="0.25">
      <c r="A10" s="16"/>
      <c r="B10" s="149"/>
      <c r="C10" s="149"/>
      <c r="D10" s="16"/>
      <c r="E10" s="35"/>
      <c r="F10" s="35"/>
      <c r="G10" s="35"/>
      <c r="H10" s="3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35"/>
      <c r="BV10" s="35"/>
      <c r="BW10" s="35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</row>
    <row r="11" spans="1:3268" s="104" customFormat="1" x14ac:dyDescent="0.25">
      <c r="A11" s="16"/>
      <c r="B11" s="149"/>
      <c r="C11" s="14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35"/>
      <c r="BV11" s="35"/>
      <c r="BW11" s="35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</row>
    <row r="12" spans="1:3268" s="104" customFormat="1" x14ac:dyDescent="0.25">
      <c r="A12" s="12" t="s">
        <v>268</v>
      </c>
      <c r="B12" s="12">
        <v>1</v>
      </c>
      <c r="C12" s="12">
        <v>2</v>
      </c>
      <c r="D12" s="12">
        <v>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35"/>
      <c r="BV12" s="35"/>
      <c r="BW12" s="35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</row>
    <row r="13" spans="1:3268" s="104" customFormat="1" x14ac:dyDescent="0.25">
      <c r="A13" s="12">
        <v>18</v>
      </c>
      <c r="B13" s="12">
        <v>1420</v>
      </c>
      <c r="C13" s="12">
        <v>1505</v>
      </c>
      <c r="D13" s="12">
        <v>1188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35"/>
      <c r="BV13" s="35"/>
      <c r="BW13" s="35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</row>
    <row r="14" spans="1:3268" s="104" customFormat="1" x14ac:dyDescent="0.25">
      <c r="A14" s="113">
        <v>23</v>
      </c>
      <c r="B14" s="12">
        <v>1358</v>
      </c>
      <c r="C14" s="12">
        <v>907.5</v>
      </c>
      <c r="D14" s="12">
        <v>962.9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</row>
    <row r="15" spans="1:3268" s="104" customFormat="1" x14ac:dyDescent="0.25">
      <c r="A15" s="113">
        <v>28</v>
      </c>
      <c r="B15" s="12">
        <v>1309</v>
      </c>
      <c r="C15" s="12">
        <v>1497</v>
      </c>
      <c r="D15" s="12">
        <v>882.4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</row>
    <row r="16" spans="1:3268" x14ac:dyDescent="0.25">
      <c r="D16" s="12" t="s">
        <v>269</v>
      </c>
      <c r="E16" s="12" t="s">
        <v>121</v>
      </c>
      <c r="F16" s="12" t="s">
        <v>123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</row>
    <row r="17" spans="3:3268" x14ac:dyDescent="0.25">
      <c r="D17" s="12" t="s">
        <v>126</v>
      </c>
      <c r="E17" s="12">
        <v>141.87</v>
      </c>
      <c r="F17" s="12">
        <v>183.88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</row>
    <row r="18" spans="3:3268" x14ac:dyDescent="0.25">
      <c r="D18" s="113" t="s">
        <v>131</v>
      </c>
      <c r="E18" s="12">
        <v>151.1</v>
      </c>
      <c r="F18" s="12">
        <v>191.4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</row>
    <row r="19" spans="3:3268" x14ac:dyDescent="0.25">
      <c r="D19" s="113" t="s">
        <v>132</v>
      </c>
      <c r="E19" s="12">
        <v>362.46</v>
      </c>
      <c r="F19" s="12">
        <v>448.68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</row>
    <row r="20" spans="3:3268" x14ac:dyDescent="0.25"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</row>
    <row r="21" spans="3:3268" x14ac:dyDescent="0.25">
      <c r="D21" s="113" t="s">
        <v>269</v>
      </c>
      <c r="E21" s="12" t="s">
        <v>121</v>
      </c>
      <c r="F21" s="12" t="s">
        <v>123</v>
      </c>
    </row>
    <row r="22" spans="3:3268" x14ac:dyDescent="0.25">
      <c r="D22" s="12" t="s">
        <v>122</v>
      </c>
      <c r="E22" s="12">
        <v>393.18</v>
      </c>
      <c r="F22" s="12">
        <v>379.12</v>
      </c>
    </row>
    <row r="23" spans="3:3268" x14ac:dyDescent="0.25">
      <c r="D23" s="113" t="s">
        <v>124</v>
      </c>
      <c r="E23" s="12">
        <v>397.75</v>
      </c>
      <c r="F23" s="12">
        <v>494.35</v>
      </c>
    </row>
    <row r="24" spans="3:3268" x14ac:dyDescent="0.25">
      <c r="D24" s="113" t="s">
        <v>125</v>
      </c>
      <c r="E24" s="12">
        <v>169.91</v>
      </c>
      <c r="F24" s="12">
        <v>197.67</v>
      </c>
    </row>
    <row r="25" spans="3:3268" x14ac:dyDescent="0.25"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3:3268" x14ac:dyDescent="0.25">
      <c r="D26" s="12" t="s">
        <v>120</v>
      </c>
      <c r="E26" s="12">
        <v>1</v>
      </c>
      <c r="F26" s="12">
        <v>2</v>
      </c>
      <c r="G26" s="12">
        <v>3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3:3268" x14ac:dyDescent="0.25">
      <c r="D27" s="12">
        <v>18</v>
      </c>
      <c r="E27" s="12">
        <v>1518.75</v>
      </c>
      <c r="F27" s="12">
        <v>573.99</v>
      </c>
      <c r="G27" s="12">
        <v>980.15</v>
      </c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3:3268" x14ac:dyDescent="0.25">
      <c r="D28" s="113">
        <v>23</v>
      </c>
      <c r="E28" s="12">
        <v>2035.53</v>
      </c>
      <c r="F28" s="12">
        <v>1560.1</v>
      </c>
      <c r="G28" s="12">
        <v>863.6</v>
      </c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3:3268" x14ac:dyDescent="0.25">
      <c r="D29" s="113">
        <v>28</v>
      </c>
      <c r="E29" s="12">
        <v>1209.28</v>
      </c>
      <c r="F29" s="12">
        <v>962.3</v>
      </c>
      <c r="G29" s="12">
        <v>1886.25</v>
      </c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3:3268" x14ac:dyDescent="0.25"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3:3268" x14ac:dyDescent="0.25">
      <c r="C31" s="35"/>
      <c r="D31" s="35"/>
      <c r="E31" s="35"/>
      <c r="F31" s="35"/>
      <c r="G31" s="35"/>
      <c r="H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3:3268" x14ac:dyDescent="0.25">
      <c r="C32" s="35"/>
      <c r="D32" s="35"/>
      <c r="E32" s="35"/>
      <c r="F32" s="35"/>
      <c r="G32" s="35"/>
      <c r="H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 spans="3:44" x14ac:dyDescent="0.25">
      <c r="C33" s="35"/>
      <c r="D33" s="35"/>
      <c r="E33" s="35"/>
      <c r="F33" s="35"/>
      <c r="G33" s="35"/>
      <c r="H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3:44" x14ac:dyDescent="0.25">
      <c r="C34" s="35"/>
      <c r="D34" s="35"/>
      <c r="E34" s="35"/>
      <c r="F34" s="35"/>
      <c r="G34" s="35"/>
      <c r="H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 spans="3:44" x14ac:dyDescent="0.25">
      <c r="D35" s="35"/>
      <c r="E35" s="35"/>
      <c r="F35" s="35"/>
      <c r="G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</row>
    <row r="36" spans="3:44" x14ac:dyDescent="0.25">
      <c r="D36" s="35"/>
      <c r="E36" s="35"/>
      <c r="F36" s="35"/>
      <c r="G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 spans="3:44" x14ac:dyDescent="0.25">
      <c r="D37" s="35"/>
      <c r="E37" s="35"/>
      <c r="F37" s="35"/>
      <c r="G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P37" s="35"/>
      <c r="AQ37" s="35"/>
      <c r="AR37" s="35"/>
    </row>
    <row r="38" spans="3:44" x14ac:dyDescent="0.25">
      <c r="D38" s="35"/>
      <c r="E38" s="35"/>
      <c r="F38" s="35"/>
      <c r="G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P38" s="35"/>
      <c r="AQ38" s="35"/>
      <c r="AR38" s="35"/>
    </row>
    <row r="39" spans="3:44" ht="15.75" thickBot="1" x14ac:dyDescent="0.3">
      <c r="D39" s="35"/>
      <c r="E39" s="35"/>
      <c r="F39" s="35"/>
      <c r="G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P39" s="35"/>
      <c r="AQ39" s="35"/>
      <c r="AR39" s="35"/>
    </row>
    <row r="40" spans="3:44" ht="15.75" thickBot="1" x14ac:dyDescent="0.3">
      <c r="D40" s="35"/>
      <c r="E40" s="35"/>
      <c r="F40" s="35"/>
      <c r="G40" s="35"/>
      <c r="N40" s="189" t="s">
        <v>279</v>
      </c>
      <c r="O40" s="202" t="s">
        <v>268</v>
      </c>
      <c r="P40" s="203" t="s">
        <v>280</v>
      </c>
      <c r="Q40" s="203" t="s">
        <v>281</v>
      </c>
      <c r="R40" s="199" t="s">
        <v>269</v>
      </c>
      <c r="S40" s="200" t="s">
        <v>282</v>
      </c>
      <c r="T40" s="201" t="s">
        <v>283</v>
      </c>
      <c r="U40" s="198" t="s">
        <v>286</v>
      </c>
      <c r="V40" s="204" t="s">
        <v>284</v>
      </c>
      <c r="W40" s="204" t="s">
        <v>285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P40" s="35"/>
      <c r="AQ40" s="35"/>
      <c r="AR40" s="35"/>
    </row>
    <row r="41" spans="3:44" x14ac:dyDescent="0.25">
      <c r="D41" s="35"/>
      <c r="E41" s="35"/>
      <c r="F41" s="35"/>
      <c r="G41" s="35"/>
      <c r="N41" s="193" t="s">
        <v>270</v>
      </c>
      <c r="O41" s="191">
        <v>1420</v>
      </c>
      <c r="P41" s="191">
        <v>128</v>
      </c>
      <c r="Q41" s="191">
        <v>111</v>
      </c>
      <c r="R41" s="190">
        <v>1519</v>
      </c>
      <c r="S41" s="191">
        <v>393.2</v>
      </c>
      <c r="T41" s="191">
        <v>379.1</v>
      </c>
      <c r="U41" s="190" t="s">
        <v>287</v>
      </c>
      <c r="V41" s="190" t="s">
        <v>287</v>
      </c>
      <c r="W41" s="190" t="s">
        <v>287</v>
      </c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P41" s="35"/>
      <c r="AQ41" s="35"/>
      <c r="AR41" s="35"/>
    </row>
    <row r="42" spans="3:44" x14ac:dyDescent="0.25">
      <c r="D42" s="35"/>
      <c r="E42" s="35"/>
      <c r="F42" s="35"/>
      <c r="G42" s="35"/>
      <c r="N42" s="194" t="s">
        <v>271</v>
      </c>
      <c r="O42" s="191">
        <v>1358</v>
      </c>
      <c r="P42" s="191">
        <v>146</v>
      </c>
      <c r="Q42" s="191">
        <v>163</v>
      </c>
      <c r="R42" s="191">
        <v>2035</v>
      </c>
      <c r="S42" s="191">
        <v>397.8</v>
      </c>
      <c r="T42" s="191">
        <v>494.4</v>
      </c>
      <c r="U42" s="190" t="s">
        <v>287</v>
      </c>
      <c r="V42" s="190" t="s">
        <v>287</v>
      </c>
      <c r="W42" s="190" t="s">
        <v>287</v>
      </c>
      <c r="AP42" s="35"/>
      <c r="AQ42" s="35"/>
      <c r="AR42" s="35"/>
    </row>
    <row r="43" spans="3:44" x14ac:dyDescent="0.25">
      <c r="D43" s="35"/>
      <c r="E43" s="35"/>
      <c r="F43" s="35"/>
      <c r="G43" s="35"/>
      <c r="N43" s="194" t="s">
        <v>272</v>
      </c>
      <c r="O43" s="191">
        <v>1309</v>
      </c>
      <c r="P43" s="191">
        <v>220</v>
      </c>
      <c r="Q43" s="191">
        <v>273</v>
      </c>
      <c r="R43" s="191">
        <v>1209</v>
      </c>
      <c r="S43" s="191">
        <v>169.9</v>
      </c>
      <c r="T43" s="191">
        <v>197.7</v>
      </c>
      <c r="U43" s="190" t="s">
        <v>287</v>
      </c>
      <c r="V43" s="190" t="s">
        <v>287</v>
      </c>
      <c r="W43" s="190" t="s">
        <v>287</v>
      </c>
      <c r="AP43" s="35"/>
      <c r="AQ43" s="35"/>
      <c r="AR43" s="35"/>
    </row>
    <row r="44" spans="3:44" x14ac:dyDescent="0.25">
      <c r="D44" s="35"/>
      <c r="E44" s="35"/>
      <c r="F44" s="35"/>
      <c r="G44" s="35"/>
      <c r="N44" s="195" t="s">
        <v>273</v>
      </c>
      <c r="O44" s="191">
        <v>1505</v>
      </c>
      <c r="P44" s="191">
        <v>321</v>
      </c>
      <c r="Q44" s="191">
        <v>354</v>
      </c>
      <c r="R44" s="191">
        <v>574</v>
      </c>
      <c r="S44" s="191">
        <v>88.39</v>
      </c>
      <c r="T44" s="191">
        <v>104.9</v>
      </c>
      <c r="U44" s="190" t="s">
        <v>287</v>
      </c>
      <c r="V44" s="190" t="s">
        <v>287</v>
      </c>
      <c r="W44" s="190" t="s">
        <v>287</v>
      </c>
      <c r="AP44" s="35"/>
      <c r="AQ44" s="35"/>
      <c r="AR44" s="35"/>
    </row>
    <row r="45" spans="3:44" x14ac:dyDescent="0.25">
      <c r="D45" s="35"/>
      <c r="E45" s="35"/>
      <c r="F45" s="35"/>
      <c r="G45" s="35"/>
      <c r="N45" s="195" t="s">
        <v>275</v>
      </c>
      <c r="O45" s="191">
        <v>907.5</v>
      </c>
      <c r="P45" s="191">
        <v>159</v>
      </c>
      <c r="Q45" s="191">
        <v>187</v>
      </c>
      <c r="R45" s="191">
        <v>1560</v>
      </c>
      <c r="S45" s="191">
        <v>182</v>
      </c>
      <c r="T45" s="191">
        <v>206</v>
      </c>
      <c r="U45" s="190" t="s">
        <v>287</v>
      </c>
      <c r="V45" s="190" t="s">
        <v>287</v>
      </c>
      <c r="W45" s="190" t="s">
        <v>287</v>
      </c>
      <c r="AP45" s="35"/>
      <c r="AQ45" s="35"/>
      <c r="AR45" s="35"/>
    </row>
    <row r="46" spans="3:44" x14ac:dyDescent="0.25">
      <c r="D46" s="35"/>
      <c r="E46" s="35"/>
      <c r="F46" s="35"/>
      <c r="G46" s="35"/>
      <c r="N46" s="195" t="s">
        <v>274</v>
      </c>
      <c r="O46" s="191">
        <v>1497</v>
      </c>
      <c r="P46" s="191">
        <v>122</v>
      </c>
      <c r="Q46" s="191">
        <v>313</v>
      </c>
      <c r="R46" s="191">
        <v>962.3</v>
      </c>
      <c r="S46" s="191">
        <v>214.3</v>
      </c>
      <c r="T46" s="191">
        <v>183.7</v>
      </c>
      <c r="U46" s="190" t="s">
        <v>287</v>
      </c>
      <c r="V46" s="190" t="s">
        <v>287</v>
      </c>
      <c r="W46" s="190" t="s">
        <v>287</v>
      </c>
      <c r="AP46" s="35"/>
      <c r="AQ46" s="35"/>
      <c r="AR46" s="35"/>
    </row>
    <row r="47" spans="3:44" x14ac:dyDescent="0.25">
      <c r="D47" s="35"/>
      <c r="E47" s="35"/>
      <c r="F47" s="35"/>
      <c r="G47" s="35"/>
      <c r="N47" s="196" t="s">
        <v>276</v>
      </c>
      <c r="O47" s="191">
        <v>1188</v>
      </c>
      <c r="P47" s="191">
        <v>192</v>
      </c>
      <c r="Q47" s="191">
        <v>213</v>
      </c>
      <c r="R47" s="191">
        <v>980.2</v>
      </c>
      <c r="S47" s="191">
        <v>141.9</v>
      </c>
      <c r="T47" s="191">
        <v>183.9</v>
      </c>
      <c r="U47" s="191">
        <v>14.2</v>
      </c>
      <c r="V47" s="191">
        <v>2.9</v>
      </c>
      <c r="W47" s="191">
        <v>2.5</v>
      </c>
      <c r="AP47" s="35"/>
      <c r="AQ47" s="35"/>
      <c r="AR47" s="35"/>
    </row>
    <row r="48" spans="3:44" x14ac:dyDescent="0.25">
      <c r="D48" s="35"/>
      <c r="E48" s="35"/>
      <c r="F48" s="35"/>
      <c r="G48" s="35"/>
      <c r="N48" s="196" t="s">
        <v>277</v>
      </c>
      <c r="O48" s="191">
        <v>962.9</v>
      </c>
      <c r="P48" s="191">
        <v>169</v>
      </c>
      <c r="Q48" s="191">
        <v>164</v>
      </c>
      <c r="R48" s="191">
        <v>863.6</v>
      </c>
      <c r="S48" s="191">
        <v>151.1</v>
      </c>
      <c r="T48" s="191">
        <v>191.4</v>
      </c>
      <c r="U48" s="191">
        <v>33.799999999999997</v>
      </c>
      <c r="V48" s="191">
        <v>7.5</v>
      </c>
      <c r="W48" s="191">
        <v>8.3000000000000007</v>
      </c>
      <c r="AP48" s="35"/>
      <c r="AQ48" s="35"/>
      <c r="AR48" s="35"/>
    </row>
    <row r="49" spans="2:44" ht="15.75" thickBot="1" x14ac:dyDescent="0.3">
      <c r="D49" s="35"/>
      <c r="E49" s="35"/>
      <c r="F49" s="35"/>
      <c r="G49" s="35"/>
      <c r="N49" s="197" t="s">
        <v>278</v>
      </c>
      <c r="O49" s="192">
        <v>882.4</v>
      </c>
      <c r="P49" s="192">
        <v>121</v>
      </c>
      <c r="Q49" s="192">
        <v>141</v>
      </c>
      <c r="R49" s="192">
        <v>1886</v>
      </c>
      <c r="S49" s="192">
        <v>362.5</v>
      </c>
      <c r="T49" s="192">
        <v>448.7</v>
      </c>
      <c r="U49" s="192">
        <v>27.5</v>
      </c>
      <c r="V49" s="192">
        <v>5.2</v>
      </c>
      <c r="W49" s="192">
        <v>3.5</v>
      </c>
      <c r="AP49" s="35"/>
      <c r="AQ49" s="35"/>
      <c r="AR49" s="35"/>
    </row>
    <row r="50" spans="2:44" x14ac:dyDescent="0.25">
      <c r="D50" s="35"/>
      <c r="E50" s="35"/>
      <c r="F50" s="35"/>
      <c r="G50" s="35"/>
      <c r="AP50" s="35"/>
      <c r="AQ50" s="35"/>
      <c r="AR50" s="35"/>
    </row>
    <row r="52" spans="2:44" x14ac:dyDescent="0.25">
      <c r="C52" s="35"/>
      <c r="D52" s="35"/>
      <c r="E52" s="35"/>
      <c r="F52" s="35"/>
      <c r="G52" s="35"/>
    </row>
    <row r="53" spans="2:44" x14ac:dyDescent="0.25">
      <c r="C53" s="35"/>
      <c r="D53" s="35"/>
      <c r="E53" s="35"/>
      <c r="F53" s="35"/>
      <c r="G53" s="35"/>
    </row>
    <row r="54" spans="2:44" x14ac:dyDescent="0.25">
      <c r="C54" s="35"/>
      <c r="D54" s="35"/>
      <c r="E54" s="35"/>
      <c r="F54" s="35"/>
      <c r="G54" s="35"/>
    </row>
    <row r="55" spans="2:44" x14ac:dyDescent="0.25">
      <c r="C55" s="35"/>
      <c r="D55" s="35"/>
      <c r="E55" s="35"/>
      <c r="F55" s="35"/>
      <c r="G55" s="35"/>
    </row>
    <row r="56" spans="2:44" x14ac:dyDescent="0.25">
      <c r="C56" s="35"/>
      <c r="D56" s="35"/>
      <c r="E56" s="35"/>
      <c r="F56" s="35"/>
      <c r="G56" s="35"/>
    </row>
    <row r="57" spans="2:44" x14ac:dyDescent="0.25">
      <c r="B57" s="35"/>
      <c r="C57" s="35"/>
      <c r="D57" s="35"/>
      <c r="E57" s="35"/>
    </row>
    <row r="58" spans="2:44" x14ac:dyDescent="0.25">
      <c r="B58" s="35"/>
      <c r="C58" s="35"/>
      <c r="D58" s="35"/>
      <c r="E58" s="35"/>
    </row>
    <row r="59" spans="2:44" x14ac:dyDescent="0.25">
      <c r="B59" s="35"/>
      <c r="C59" s="35"/>
      <c r="D59" s="35"/>
      <c r="E59" s="35"/>
    </row>
    <row r="60" spans="2:44" x14ac:dyDescent="0.25">
      <c r="B60" s="35"/>
      <c r="C60" s="35"/>
      <c r="D60" s="35"/>
      <c r="E60" s="35"/>
    </row>
    <row r="61" spans="2:44" x14ac:dyDescent="0.25">
      <c r="B61" s="35"/>
      <c r="C61" s="35"/>
      <c r="D61" s="35"/>
      <c r="E61" s="35"/>
    </row>
    <row r="62" spans="2:44" x14ac:dyDescent="0.25">
      <c r="B62" s="35"/>
      <c r="C62" s="35"/>
      <c r="D62" s="35"/>
      <c r="E62" s="3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T13"/>
  <sheetViews>
    <sheetView zoomScaleNormal="100" workbookViewId="0">
      <selection activeCell="N4" sqref="N4"/>
    </sheetView>
  </sheetViews>
  <sheetFormatPr defaultRowHeight="15" x14ac:dyDescent="0.25"/>
  <cols>
    <col min="1" max="1" width="15.28515625" customWidth="1"/>
    <col min="4" max="4" width="10.28515625" customWidth="1"/>
    <col min="10" max="10" width="12.5703125" customWidth="1"/>
    <col min="11" max="11" width="9.28515625" customWidth="1"/>
  </cols>
  <sheetData>
    <row r="1" spans="1:20" ht="47.25" customHeight="1" x14ac:dyDescent="0.25">
      <c r="A1" s="79" t="s">
        <v>92</v>
      </c>
      <c r="B1" s="82"/>
      <c r="C1" s="76"/>
      <c r="D1" s="76"/>
      <c r="E1" s="76"/>
      <c r="F1" s="76"/>
      <c r="G1" s="76"/>
      <c r="H1" s="76"/>
      <c r="I1" s="76"/>
      <c r="J1" s="80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77" t="s">
        <v>34</v>
      </c>
      <c r="C2" s="77" t="s">
        <v>35</v>
      </c>
      <c r="D2" s="77" t="s">
        <v>83</v>
      </c>
      <c r="E2" s="77" t="s">
        <v>42</v>
      </c>
      <c r="F2" s="77" t="s">
        <v>43</v>
      </c>
      <c r="G2" s="77" t="s">
        <v>44</v>
      </c>
      <c r="H2" s="77" t="s">
        <v>87</v>
      </c>
      <c r="I2" s="77" t="s">
        <v>41</v>
      </c>
      <c r="J2" s="78" t="s">
        <v>36</v>
      </c>
      <c r="K2" s="78" t="s">
        <v>37</v>
      </c>
      <c r="L2" s="78" t="s">
        <v>84</v>
      </c>
      <c r="M2" s="78" t="s">
        <v>85</v>
      </c>
      <c r="N2" s="78" t="s">
        <v>86</v>
      </c>
      <c r="O2" s="78" t="s">
        <v>38</v>
      </c>
      <c r="P2" s="78" t="s">
        <v>39</v>
      </c>
      <c r="Q2" s="78" t="s">
        <v>93</v>
      </c>
      <c r="R2" s="78" t="s">
        <v>94</v>
      </c>
      <c r="S2" s="78" t="s">
        <v>40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89">
        <v>0.95</v>
      </c>
      <c r="C4" s="90">
        <v>0.91</v>
      </c>
      <c r="D4" s="90">
        <v>0.88</v>
      </c>
      <c r="E4" s="92">
        <v>0.73</v>
      </c>
      <c r="F4" s="92">
        <v>0.71</v>
      </c>
      <c r="G4" s="92">
        <v>0.71</v>
      </c>
      <c r="H4" s="92">
        <v>0.79</v>
      </c>
      <c r="I4" s="92">
        <v>1.06</v>
      </c>
      <c r="J4" s="93">
        <v>0.84</v>
      </c>
      <c r="K4" s="93">
        <v>0.9</v>
      </c>
      <c r="L4" s="93">
        <v>0.95</v>
      </c>
      <c r="M4" s="93">
        <v>0.91</v>
      </c>
      <c r="N4" s="93">
        <v>0.94</v>
      </c>
      <c r="O4" s="93">
        <v>1.01</v>
      </c>
      <c r="P4" s="93">
        <v>1.04</v>
      </c>
      <c r="Q4" s="93">
        <v>1.05</v>
      </c>
      <c r="R4" s="93">
        <v>1.02</v>
      </c>
      <c r="S4" s="93">
        <v>1.07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ht="25.5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 t="s">
        <v>82</v>
      </c>
      <c r="K6" s="83" t="s">
        <v>82</v>
      </c>
      <c r="L6" s="83" t="s">
        <v>82</v>
      </c>
      <c r="M6" s="83" t="s">
        <v>82</v>
      </c>
      <c r="N6" s="83" t="s">
        <v>82</v>
      </c>
      <c r="O6" s="83" t="s">
        <v>82</v>
      </c>
      <c r="P6" s="83" t="s">
        <v>82</v>
      </c>
      <c r="Q6" s="83" t="s">
        <v>82</v>
      </c>
      <c r="R6" s="83" t="s">
        <v>82</v>
      </c>
      <c r="S6" s="83" t="s">
        <v>82</v>
      </c>
      <c r="T6" s="86"/>
    </row>
    <row r="7" spans="1:20" x14ac:dyDescent="0.25">
      <c r="A7" s="75" t="s">
        <v>90</v>
      </c>
      <c r="B7" s="75"/>
      <c r="C7" s="252"/>
      <c r="D7" s="75"/>
      <c r="E7" s="75"/>
      <c r="F7" s="75"/>
      <c r="G7" s="75"/>
      <c r="H7" s="75"/>
      <c r="I7" s="75"/>
      <c r="J7" s="84">
        <v>0.91</v>
      </c>
      <c r="K7" s="84">
        <v>0.98</v>
      </c>
      <c r="L7" s="84">
        <v>0.95</v>
      </c>
      <c r="M7" s="84">
        <v>0.99</v>
      </c>
      <c r="N7" s="88">
        <v>0.89</v>
      </c>
      <c r="O7" s="84">
        <v>0.42</v>
      </c>
      <c r="P7" s="106">
        <v>0.69</v>
      </c>
      <c r="Q7" s="106">
        <v>1.17</v>
      </c>
      <c r="R7" s="106">
        <v>1.05</v>
      </c>
      <c r="S7" s="107">
        <v>0.82</v>
      </c>
      <c r="T7" s="16"/>
    </row>
    <row r="8" spans="1:20" ht="60" x14ac:dyDescent="0.25">
      <c r="A8" s="76"/>
      <c r="B8" s="76"/>
      <c r="C8" s="76"/>
      <c r="D8" s="76"/>
      <c r="E8" s="76"/>
      <c r="F8" s="76"/>
      <c r="G8" s="76"/>
      <c r="H8" s="76"/>
      <c r="I8" s="76"/>
      <c r="J8" s="75" t="s">
        <v>134</v>
      </c>
      <c r="K8" s="105">
        <v>662.1</v>
      </c>
      <c r="L8" s="75">
        <v>2352</v>
      </c>
      <c r="M8" s="75">
        <v>4288</v>
      </c>
      <c r="N8" s="75">
        <v>6128</v>
      </c>
      <c r="O8" s="75">
        <v>6826</v>
      </c>
      <c r="P8" s="108"/>
      <c r="Q8" s="76"/>
      <c r="R8" s="76"/>
      <c r="S8" s="76"/>
      <c r="T8" s="7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81"/>
      <c r="K9" s="75">
        <v>1000</v>
      </c>
      <c r="L9" s="75">
        <v>3000</v>
      </c>
      <c r="M9" s="75">
        <v>4000</v>
      </c>
      <c r="N9" s="75">
        <v>6000</v>
      </c>
      <c r="O9" s="96">
        <v>8000</v>
      </c>
      <c r="P9" s="76"/>
      <c r="Q9" s="76"/>
      <c r="R9" s="76"/>
      <c r="S9" s="76"/>
      <c r="T9" s="16"/>
    </row>
    <row r="10" spans="1:20" ht="60" x14ac:dyDescent="0.25">
      <c r="A10" s="95" t="s">
        <v>96</v>
      </c>
      <c r="B10" s="75" t="s">
        <v>128</v>
      </c>
      <c r="C10" s="76"/>
      <c r="D10" s="76"/>
      <c r="E10" s="76"/>
      <c r="F10" s="74"/>
      <c r="G10" s="74"/>
      <c r="H10" s="74"/>
      <c r="I10" s="76"/>
      <c r="J10" s="76"/>
      <c r="K10" s="249"/>
      <c r="L10" s="76"/>
      <c r="M10" s="76"/>
      <c r="N10" s="76"/>
      <c r="O10" s="3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</row>
    <row r="13" spans="1:20" ht="60" x14ac:dyDescent="0.25">
      <c r="A13" s="95" t="s">
        <v>98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GQ47"/>
  <sheetViews>
    <sheetView zoomScaleNormal="100" zoomScaleSheetLayoutView="40" workbookViewId="0">
      <pane xSplit="1" topLeftCell="AH1" activePane="topRight" state="frozen"/>
      <selection pane="topRight" activeCell="AT17" sqref="AT17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3" width="10.7109375" customWidth="1"/>
    <col min="14" max="14" width="11.7109375" customWidth="1"/>
    <col min="16" max="16" width="11.5703125" customWidth="1"/>
    <col min="18" max="18" width="13.5703125" customWidth="1"/>
    <col min="20" max="20" width="9.42578125" customWidth="1"/>
    <col min="21" max="21" width="9.85546875" customWidth="1"/>
    <col min="22" max="22" width="9" customWidth="1"/>
    <col min="23" max="23" width="8.5703125" customWidth="1"/>
    <col min="24" max="25" width="9.5703125" customWidth="1"/>
    <col min="26" max="26" width="10.5703125" customWidth="1"/>
    <col min="27" max="27" width="9.42578125" customWidth="1"/>
    <col min="28" max="28" width="10.7109375" customWidth="1"/>
    <col min="29" max="29" width="10.5703125" customWidth="1"/>
    <col min="30" max="30" width="13.140625" customWidth="1"/>
    <col min="31" max="31" width="17.85546875" customWidth="1"/>
    <col min="32" max="32" width="12.42578125" customWidth="1"/>
    <col min="33" max="33" width="10.5703125" customWidth="1"/>
    <col min="34" max="34" width="14.28515625" customWidth="1"/>
    <col min="35" max="35" width="10.5703125" customWidth="1"/>
    <col min="36" max="36" width="12.85546875" customWidth="1"/>
    <col min="37" max="39" width="10.5703125" customWidth="1"/>
    <col min="40" max="40" width="12.85546875" customWidth="1"/>
    <col min="41" max="41" width="10.5703125" customWidth="1"/>
    <col min="42" max="42" width="37.5703125" customWidth="1"/>
    <col min="43" max="43" width="10.5703125" customWidth="1"/>
    <col min="44" max="44" width="14.28515625" customWidth="1"/>
    <col min="45" max="49" width="10.5703125" customWidth="1"/>
    <col min="50" max="50" width="13.140625" customWidth="1"/>
    <col min="51" max="51" width="10.5703125" customWidth="1"/>
    <col min="52" max="52" width="14.42578125" customWidth="1"/>
    <col min="53" max="59" width="11.140625" customWidth="1"/>
    <col min="60" max="60" width="12.85546875" customWidth="1"/>
    <col min="61" max="63" width="11.140625" customWidth="1"/>
    <col min="64" max="64" width="11.42578125" customWidth="1"/>
    <col min="65" max="65" width="10.140625" customWidth="1"/>
    <col min="66" max="66" width="11.42578125" customWidth="1"/>
    <col min="67" max="67" width="11.85546875" customWidth="1"/>
    <col min="68" max="68" width="11.28515625" customWidth="1"/>
    <col min="71" max="71" width="9.28515625" customWidth="1"/>
    <col min="72" max="72" width="13.5703125" customWidth="1"/>
    <col min="73" max="73" width="9.28515625" customWidth="1"/>
    <col min="74" max="74" width="13.7109375" customWidth="1"/>
    <col min="75" max="75" width="12.7109375" customWidth="1"/>
    <col min="76" max="76" width="14.42578125" customWidth="1"/>
    <col min="77" max="77" width="12.85546875" customWidth="1"/>
    <col min="79" max="79" width="11.42578125" customWidth="1"/>
    <col min="83" max="83" width="12" customWidth="1"/>
    <col min="85" max="85" width="12" customWidth="1"/>
    <col min="89" max="89" width="12" customWidth="1"/>
    <col min="91" max="91" width="11.85546875" customWidth="1"/>
    <col min="93" max="93" width="11.42578125" customWidth="1"/>
    <col min="95" max="95" width="11.28515625" customWidth="1"/>
    <col min="97" max="97" width="12.7109375" customWidth="1"/>
    <col min="103" max="103" width="8.28515625" customWidth="1"/>
    <col min="105" max="105" width="21.85546875" customWidth="1"/>
    <col min="118" max="118" width="20" customWidth="1"/>
    <col min="157" max="159" width="10.5703125" customWidth="1"/>
  </cols>
  <sheetData>
    <row r="1" spans="1:199" x14ac:dyDescent="0.25">
      <c r="A1" t="s">
        <v>76</v>
      </c>
    </row>
    <row r="2" spans="1:199" ht="15.75" customHeight="1" x14ac:dyDescent="0.25">
      <c r="A2" t="s">
        <v>75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DD2" s="9"/>
    </row>
    <row r="3" spans="1:199" ht="17.25" customHeight="1" x14ac:dyDescent="0.25">
      <c r="A3" t="s">
        <v>135</v>
      </c>
      <c r="P3" s="1"/>
      <c r="R3" s="19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9"/>
      <c r="BP3" s="16"/>
      <c r="BQ3" s="19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</row>
    <row r="4" spans="1:199" x14ac:dyDescent="0.25">
      <c r="P4" s="1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9"/>
      <c r="BP4" s="16"/>
      <c r="BQ4" s="19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</row>
    <row r="5" spans="1:199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</row>
    <row r="6" spans="1:199" ht="58.5" customHeight="1" x14ac:dyDescent="0.25">
      <c r="A6" t="s">
        <v>15</v>
      </c>
      <c r="B6" s="206" t="s">
        <v>52</v>
      </c>
      <c r="C6" s="97" t="s">
        <v>16</v>
      </c>
      <c r="D6" s="207" t="s">
        <v>51</v>
      </c>
      <c r="E6" s="97" t="s">
        <v>16</v>
      </c>
      <c r="F6" s="207" t="s">
        <v>50</v>
      </c>
      <c r="G6" s="97" t="s">
        <v>16</v>
      </c>
      <c r="H6" s="208"/>
      <c r="I6" s="206" t="s">
        <v>31</v>
      </c>
      <c r="J6" s="206" t="s">
        <v>33</v>
      </c>
      <c r="K6" s="17"/>
      <c r="L6" s="50" t="s">
        <v>45</v>
      </c>
      <c r="M6" s="50" t="s">
        <v>46</v>
      </c>
      <c r="N6" s="51" t="s">
        <v>31</v>
      </c>
      <c r="O6" s="50" t="s">
        <v>30</v>
      </c>
      <c r="P6" s="17"/>
      <c r="Q6" s="17"/>
      <c r="R6" s="18"/>
      <c r="S6" s="206" t="s">
        <v>56</v>
      </c>
      <c r="T6" s="97" t="s">
        <v>16</v>
      </c>
      <c r="U6" s="207" t="s">
        <v>57</v>
      </c>
      <c r="V6" s="97" t="s">
        <v>16</v>
      </c>
      <c r="W6" s="207" t="s">
        <v>58</v>
      </c>
      <c r="X6" s="97" t="s">
        <v>16</v>
      </c>
      <c r="Y6" s="207" t="s">
        <v>59</v>
      </c>
      <c r="Z6" s="97" t="s">
        <v>16</v>
      </c>
      <c r="AA6" s="207" t="s">
        <v>60</v>
      </c>
      <c r="AB6" s="97" t="s">
        <v>16</v>
      </c>
      <c r="AC6" s="222"/>
      <c r="AD6" s="17"/>
      <c r="AE6" s="18"/>
      <c r="AF6" s="206" t="s">
        <v>74</v>
      </c>
      <c r="AG6" s="97" t="s">
        <v>16</v>
      </c>
      <c r="AH6" s="207" t="s">
        <v>73</v>
      </c>
      <c r="AI6" s="97" t="s">
        <v>16</v>
      </c>
      <c r="AJ6" s="207" t="s">
        <v>72</v>
      </c>
      <c r="AK6" s="97" t="s">
        <v>16</v>
      </c>
      <c r="AL6" s="207" t="s">
        <v>71</v>
      </c>
      <c r="AM6" s="97" t="s">
        <v>16</v>
      </c>
      <c r="AN6" s="207" t="s">
        <v>77</v>
      </c>
      <c r="AO6" s="97" t="s">
        <v>16</v>
      </c>
      <c r="AP6" s="222"/>
      <c r="AQ6" s="226" t="s">
        <v>54</v>
      </c>
      <c r="AR6" s="206"/>
      <c r="AS6" s="226" t="s">
        <v>55</v>
      </c>
      <c r="AT6" s="206"/>
      <c r="AU6" s="149"/>
      <c r="AV6" s="17"/>
      <c r="AW6" s="17"/>
      <c r="AX6" s="17"/>
      <c r="AY6" s="18"/>
      <c r="AZ6" s="63"/>
      <c r="BA6" s="18"/>
      <c r="BB6" s="64"/>
      <c r="BC6" s="18"/>
      <c r="BD6" s="64"/>
      <c r="BE6" s="18"/>
      <c r="BF6" s="17"/>
      <c r="BG6" s="63"/>
      <c r="BH6" s="63"/>
      <c r="BI6" s="17"/>
      <c r="BJ6" s="65"/>
      <c r="BK6" s="18"/>
      <c r="BL6" s="64"/>
      <c r="BM6" s="18"/>
      <c r="BN6" s="64"/>
      <c r="BO6" s="18"/>
      <c r="BP6" s="17"/>
      <c r="BQ6" s="63"/>
      <c r="BR6" s="63"/>
      <c r="BS6" s="16"/>
      <c r="BT6" s="65"/>
      <c r="BU6" s="18"/>
      <c r="BV6" s="64"/>
      <c r="BW6" s="18"/>
      <c r="BX6" s="64"/>
      <c r="BY6" s="18"/>
      <c r="BZ6" s="17"/>
      <c r="CA6" s="63"/>
      <c r="CB6" s="63"/>
      <c r="CC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6"/>
      <c r="CZ6" s="4"/>
      <c r="DA6" s="4"/>
      <c r="DB6" s="4"/>
      <c r="DC6" s="4"/>
      <c r="DF6" s="4"/>
      <c r="DG6" s="4"/>
      <c r="DH6" s="4"/>
      <c r="DI6" s="4"/>
      <c r="DJ6" s="4"/>
      <c r="DK6" s="4"/>
      <c r="DL6" s="4"/>
      <c r="DM6" s="4"/>
      <c r="DO6" s="4"/>
      <c r="DP6" s="4"/>
      <c r="DQ6" s="4"/>
      <c r="DR6" s="4"/>
      <c r="DS6" s="4"/>
      <c r="DT6" s="4"/>
      <c r="DW6" s="4"/>
      <c r="DX6" s="4"/>
      <c r="DY6" s="4"/>
      <c r="DZ6" s="4"/>
      <c r="EA6" s="4"/>
      <c r="EB6" s="4"/>
      <c r="EC6" s="4"/>
      <c r="ED6" s="4"/>
      <c r="EG6" s="4"/>
      <c r="EH6" s="4"/>
      <c r="EI6" s="4"/>
      <c r="EJ6" s="4"/>
      <c r="EK6" s="4"/>
      <c r="EL6" s="4"/>
      <c r="EM6" s="4"/>
      <c r="EN6" s="4"/>
      <c r="EO6" s="4"/>
      <c r="EP6" s="4"/>
      <c r="ER6" s="4"/>
      <c r="ES6" s="4"/>
      <c r="ET6" s="4"/>
      <c r="EU6" s="4"/>
      <c r="EV6" s="4"/>
      <c r="EW6" s="4"/>
      <c r="EX6" s="4"/>
      <c r="EY6" s="4"/>
      <c r="EZ6" s="4"/>
      <c r="FA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C6" s="4"/>
      <c r="GD6" s="4"/>
      <c r="GE6" s="4"/>
      <c r="GF6" s="4"/>
      <c r="GG6" s="4"/>
      <c r="GH6" s="4"/>
      <c r="GI6" s="4"/>
      <c r="GJ6" s="4"/>
      <c r="GK6" s="4"/>
      <c r="GL6" s="4"/>
      <c r="GN6" s="4"/>
    </row>
    <row r="7" spans="1:199" ht="15.75" x14ac:dyDescent="0.25">
      <c r="A7" t="s">
        <v>5</v>
      </c>
      <c r="B7" s="209">
        <v>1.67</v>
      </c>
      <c r="C7" s="99">
        <f>B7/AVERAGE(L7:M7)</f>
        <v>4.4485881726158763E-2</v>
      </c>
      <c r="D7" s="191">
        <v>2.12</v>
      </c>
      <c r="E7" s="99">
        <f>D7/AVERAGE(L7:M7)</f>
        <v>5.6473095364944062E-2</v>
      </c>
      <c r="F7" s="191">
        <v>1.73</v>
      </c>
      <c r="G7" s="99">
        <f>F7/AVERAGE(M7,L7)</f>
        <v>4.6084176877996805E-2</v>
      </c>
      <c r="H7" s="210"/>
      <c r="I7" s="214">
        <f>AVERAGE(B7,D7,F7)</f>
        <v>1.8399999999999999</v>
      </c>
      <c r="J7" s="69">
        <f>STDEV(B7,D7,F7)/I7</f>
        <v>0.13279121437902977</v>
      </c>
      <c r="K7" s="19"/>
      <c r="L7" s="216">
        <v>36.68</v>
      </c>
      <c r="M7" s="217">
        <v>38.4</v>
      </c>
      <c r="N7" s="217">
        <f>AVERAGE(M7,L7)</f>
        <v>37.54</v>
      </c>
      <c r="O7" s="218">
        <f>ABS(L7-M7)/AVERAGE(L7:M7)</f>
        <v>4.5817794352690434E-2</v>
      </c>
      <c r="P7" s="38"/>
      <c r="Q7" s="38"/>
      <c r="R7" s="16"/>
      <c r="S7" s="209">
        <v>2.54</v>
      </c>
      <c r="T7" s="99">
        <f>S7/AVERAGE(L7)</f>
        <v>6.9247546346782984E-2</v>
      </c>
      <c r="U7" s="191">
        <v>1.28</v>
      </c>
      <c r="V7" s="99">
        <f>U7/AVERAGE(L7)</f>
        <v>3.4896401308615051E-2</v>
      </c>
      <c r="W7" s="191">
        <v>1.17</v>
      </c>
      <c r="X7" s="99">
        <f>W7/AVERAGE(L7)</f>
        <v>3.1897491821155942E-2</v>
      </c>
      <c r="Y7" s="191">
        <v>1.25</v>
      </c>
      <c r="Z7" s="99">
        <f>Y7/AVERAGE(L7)</f>
        <v>3.4078516902944382E-2</v>
      </c>
      <c r="AA7" s="191">
        <v>1.51</v>
      </c>
      <c r="AB7" s="99">
        <f>AA7/AVERAGE(L7)</f>
        <v>4.1166848418756813E-2</v>
      </c>
      <c r="AC7" s="22"/>
      <c r="AD7" s="38"/>
      <c r="AE7" s="20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227"/>
      <c r="AQ7" s="191">
        <v>0.6</v>
      </c>
      <c r="AR7" s="69">
        <f>AQ7/AVERAGE($L7:M7)</f>
        <v>1.5982951518380393E-2</v>
      </c>
      <c r="AS7" s="191">
        <v>1.37</v>
      </c>
      <c r="AT7" s="69">
        <f>AS7/AVERAGE($L7:O7)</f>
        <v>4.8639419721805653E-2</v>
      </c>
      <c r="AU7" s="224"/>
      <c r="AV7" s="23"/>
      <c r="AW7" s="16"/>
      <c r="AX7" s="38"/>
      <c r="AY7" s="20"/>
      <c r="AZ7" s="43"/>
      <c r="BA7" s="23"/>
      <c r="BB7" s="16"/>
      <c r="BC7" s="23"/>
      <c r="BD7" s="16"/>
      <c r="BE7" s="23"/>
      <c r="BF7" s="23"/>
      <c r="BG7" s="16"/>
      <c r="BH7" s="38"/>
      <c r="BI7" s="16"/>
      <c r="BJ7" s="43"/>
      <c r="BK7" s="23"/>
      <c r="BL7" s="16"/>
      <c r="BM7" s="23"/>
      <c r="BN7" s="16"/>
      <c r="BO7" s="23"/>
      <c r="BP7" s="23"/>
      <c r="BQ7" s="16"/>
      <c r="BR7" s="38"/>
      <c r="BS7" s="20"/>
      <c r="BT7" s="43"/>
      <c r="BU7" s="23"/>
      <c r="BV7" s="16"/>
      <c r="BW7" s="23"/>
      <c r="BX7" s="16"/>
      <c r="BY7" s="23"/>
      <c r="BZ7" s="23"/>
      <c r="CA7" s="16"/>
      <c r="CB7" s="38"/>
      <c r="CC7" s="16"/>
      <c r="CH7" s="20"/>
      <c r="CI7" s="16"/>
      <c r="CJ7" s="20"/>
      <c r="CK7" s="16"/>
      <c r="CL7" s="20"/>
      <c r="CM7" s="16"/>
      <c r="CN7" s="20"/>
      <c r="CO7" s="16"/>
      <c r="CP7" s="20"/>
      <c r="CQ7" s="16"/>
      <c r="CR7" s="20"/>
      <c r="CS7" s="16"/>
      <c r="CT7" s="20"/>
      <c r="CU7" s="19"/>
      <c r="CV7" s="19"/>
      <c r="CW7" s="19"/>
      <c r="CX7" s="19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5"/>
      <c r="ET7" s="8"/>
      <c r="EV7" s="8"/>
      <c r="EX7" s="8"/>
      <c r="EZ7" s="1"/>
      <c r="FA7" s="8"/>
      <c r="FB7" s="2"/>
      <c r="FC7" s="5"/>
      <c r="FE7" s="8"/>
      <c r="FG7" s="8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</row>
    <row r="8" spans="1:199" ht="15.75" x14ac:dyDescent="0.25">
      <c r="A8" t="s">
        <v>9</v>
      </c>
      <c r="B8" s="209">
        <v>35.159999999999997</v>
      </c>
      <c r="C8" s="69">
        <f>B8/AVERAGE(L8)</f>
        <v>0.94592413236481021</v>
      </c>
      <c r="D8" s="191">
        <v>33.880000000000003</v>
      </c>
      <c r="E8" s="69">
        <f>D8/AVERAGE(L8)</f>
        <v>0.91148775894538614</v>
      </c>
      <c r="F8" s="191">
        <v>32.81</v>
      </c>
      <c r="G8" s="69">
        <f>F8/AVERAGE(L8)</f>
        <v>0.88270110304008609</v>
      </c>
      <c r="H8" s="211"/>
      <c r="I8" s="214">
        <f>AVERAGE(B8,D8,F8)</f>
        <v>33.949999999999996</v>
      </c>
      <c r="J8" s="69">
        <f>STDEV(B8,D8,F8)/I8</f>
        <v>3.4655752297632091E-2</v>
      </c>
      <c r="K8" s="19"/>
      <c r="L8" s="216">
        <v>37.17</v>
      </c>
      <c r="M8" s="217">
        <v>33.26</v>
      </c>
      <c r="N8" s="217">
        <f>AVERAGE(M8,L8)</f>
        <v>35.215000000000003</v>
      </c>
      <c r="O8" s="218">
        <f>ABS(L8-M8)/AVERAGE(L8:M8)</f>
        <v>0.11103223058355824</v>
      </c>
      <c r="P8" s="38"/>
      <c r="Q8" s="38"/>
      <c r="R8" s="16"/>
      <c r="S8" s="209">
        <v>31.11</v>
      </c>
      <c r="T8" s="69">
        <f>S8/AVERAGE(L8)</f>
        <v>0.8369652945924132</v>
      </c>
      <c r="U8" s="191">
        <v>33.44</v>
      </c>
      <c r="V8" s="69">
        <f>U8/AVERAGE(L8)</f>
        <v>0.89965025558245892</v>
      </c>
      <c r="W8" s="191">
        <v>33.869999999999997</v>
      </c>
      <c r="X8" s="69">
        <f>W8/AVERAGE(L8)</f>
        <v>0.91121872477804666</v>
      </c>
      <c r="Y8" s="191">
        <v>35.4</v>
      </c>
      <c r="Z8" s="69">
        <f>Y8/AVERAGE(L8)</f>
        <v>0.95238095238095233</v>
      </c>
      <c r="AA8" s="191">
        <v>35.020000000000003</v>
      </c>
      <c r="AB8" s="69">
        <f>AA8/AVERAGE(L8)</f>
        <v>0.94215765402206086</v>
      </c>
      <c r="AC8" s="22"/>
      <c r="AD8" s="23"/>
      <c r="AE8" s="20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227"/>
      <c r="AQ8" s="191">
        <v>29.53</v>
      </c>
      <c r="AR8" s="69">
        <f>AQ8/AVERAGE(L8)</f>
        <v>0.79445789615281137</v>
      </c>
      <c r="AS8" s="191">
        <v>35.29</v>
      </c>
      <c r="AT8" s="69">
        <f>AS8/AVERAGE(M8)</f>
        <v>1.061034275405893</v>
      </c>
      <c r="AU8" s="73"/>
      <c r="AV8" s="38"/>
      <c r="AW8" s="16"/>
      <c r="AX8" s="38"/>
      <c r="AY8" s="20"/>
      <c r="AZ8" s="43"/>
      <c r="BA8" s="38"/>
      <c r="BB8" s="16"/>
      <c r="BC8" s="38"/>
      <c r="BD8" s="16"/>
      <c r="BE8" s="38"/>
      <c r="BF8" s="38"/>
      <c r="BG8" s="16"/>
      <c r="BH8" s="38"/>
      <c r="BI8" s="16"/>
      <c r="BJ8" s="43"/>
      <c r="BK8" s="23"/>
      <c r="BL8" s="16"/>
      <c r="BM8" s="23"/>
      <c r="BN8" s="16"/>
      <c r="BO8" s="23"/>
      <c r="BP8" s="38"/>
      <c r="BQ8" s="16"/>
      <c r="BR8" s="38"/>
      <c r="BS8" s="20"/>
      <c r="BT8" s="43"/>
      <c r="BU8" s="23"/>
      <c r="BV8" s="16"/>
      <c r="BW8" s="23"/>
      <c r="BX8" s="16"/>
      <c r="BY8" s="23"/>
      <c r="BZ8" s="38"/>
      <c r="CA8" s="16"/>
      <c r="CB8" s="38"/>
      <c r="CC8" s="16"/>
      <c r="CH8" s="20"/>
      <c r="CI8" s="16"/>
      <c r="CJ8" s="20"/>
      <c r="CK8" s="16"/>
      <c r="CL8" s="20"/>
      <c r="CM8" s="16"/>
      <c r="CN8" s="20"/>
      <c r="CO8" s="16"/>
      <c r="CP8" s="20"/>
      <c r="CQ8" s="16"/>
      <c r="CR8" s="20"/>
      <c r="CS8" s="16"/>
      <c r="CT8" s="20"/>
      <c r="CU8" s="19"/>
      <c r="CV8" s="19"/>
      <c r="CW8" s="19"/>
      <c r="CX8" s="19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5"/>
      <c r="ET8" s="8"/>
      <c r="EV8" s="8"/>
      <c r="EX8" s="8"/>
      <c r="EZ8" s="1"/>
      <c r="FA8" s="8"/>
      <c r="FB8" s="2"/>
      <c r="FC8" s="5"/>
      <c r="FE8" s="8"/>
      <c r="FG8" s="8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</row>
    <row r="9" spans="1:199" ht="15.75" x14ac:dyDescent="0.25">
      <c r="A9" t="s">
        <v>7</v>
      </c>
      <c r="B9" s="209">
        <v>23.45</v>
      </c>
      <c r="C9" s="69">
        <f>B9/AVERAGE(L9)</f>
        <v>1.6061643835616439</v>
      </c>
      <c r="D9" s="191">
        <v>26.34</v>
      </c>
      <c r="E9" s="69">
        <f>D9/AVERAGE(L9)</f>
        <v>1.8041095890410959</v>
      </c>
      <c r="F9" s="191">
        <v>25.25</v>
      </c>
      <c r="G9" s="69">
        <f>F9/AVERAGE(L9)</f>
        <v>1.7294520547945207</v>
      </c>
      <c r="H9" s="211"/>
      <c r="I9" s="214">
        <f>AVERAGE(B9,D9,F9)</f>
        <v>25.013333333333332</v>
      </c>
      <c r="J9" s="69">
        <f>STDEV(B9,D9,F9)/I9</f>
        <v>5.8347416245993947E-2</v>
      </c>
      <c r="K9" s="16"/>
      <c r="L9" s="216">
        <v>14.6</v>
      </c>
      <c r="M9" s="216">
        <v>15.17</v>
      </c>
      <c r="N9" s="217">
        <f>AVERAGE(M9,L9)</f>
        <v>14.885</v>
      </c>
      <c r="O9" s="218">
        <f>ABS(L9-M9)/AVERAGE(L9:M9)</f>
        <v>3.8293584145112552E-2</v>
      </c>
      <c r="P9" s="38"/>
      <c r="Q9" s="38"/>
      <c r="R9" s="16"/>
      <c r="S9" s="209"/>
      <c r="T9" s="191"/>
      <c r="U9" s="191"/>
      <c r="V9" s="191"/>
      <c r="W9" s="191"/>
      <c r="X9" s="191"/>
      <c r="Y9" s="191"/>
      <c r="Z9" s="191"/>
      <c r="AA9" s="191"/>
      <c r="AB9" s="191"/>
      <c r="AC9" s="22"/>
      <c r="AD9" s="45"/>
      <c r="AE9" s="43"/>
      <c r="AF9" s="209">
        <v>15.39</v>
      </c>
      <c r="AG9" s="191">
        <f>AF9/0.5*10</f>
        <v>307.8</v>
      </c>
      <c r="AH9" s="191">
        <v>44.05</v>
      </c>
      <c r="AI9" s="191">
        <f>AH9/0.5*10</f>
        <v>881</v>
      </c>
      <c r="AJ9" s="191">
        <v>31.76</v>
      </c>
      <c r="AK9" s="191">
        <f>AJ9/0.5*20</f>
        <v>1270.4000000000001</v>
      </c>
      <c r="AL9" s="191">
        <v>48.39</v>
      </c>
      <c r="AM9" s="191">
        <f>AL9/0.5*20</f>
        <v>1935.6</v>
      </c>
      <c r="AN9" s="191">
        <v>12.54</v>
      </c>
      <c r="AO9" s="191">
        <f>AN9/0.5*100</f>
        <v>2508</v>
      </c>
      <c r="AP9" s="225"/>
      <c r="AQ9" s="191" t="s">
        <v>53</v>
      </c>
      <c r="AR9" s="69"/>
      <c r="AS9" s="191" t="s">
        <v>53</v>
      </c>
      <c r="AT9" s="69"/>
      <c r="AU9" s="225"/>
      <c r="AV9" s="45"/>
      <c r="AW9" s="16"/>
      <c r="AX9" s="45"/>
      <c r="AY9" s="19"/>
      <c r="AZ9" s="43"/>
      <c r="BA9" s="16"/>
      <c r="BB9" s="16"/>
      <c r="BC9" s="16"/>
      <c r="BD9" s="16"/>
      <c r="BE9" s="16"/>
      <c r="BF9" s="38"/>
      <c r="BG9" s="16"/>
      <c r="BH9" s="38"/>
      <c r="BI9" s="16"/>
      <c r="BJ9" s="43"/>
      <c r="BK9" s="16"/>
      <c r="BL9" s="16"/>
      <c r="BM9" s="16"/>
      <c r="BN9" s="16"/>
      <c r="BO9" s="16"/>
      <c r="BP9" s="38"/>
      <c r="BQ9" s="16"/>
      <c r="BR9" s="38"/>
      <c r="BS9" s="20"/>
      <c r="BT9" s="43"/>
      <c r="BU9" s="16"/>
      <c r="BV9" s="16"/>
      <c r="BW9" s="16"/>
      <c r="BX9" s="16"/>
      <c r="BY9" s="16"/>
      <c r="BZ9" s="38"/>
      <c r="CA9" s="16"/>
      <c r="CB9" s="38"/>
      <c r="CC9" s="16"/>
      <c r="CH9" s="19"/>
      <c r="CI9" s="16"/>
      <c r="CJ9" s="19"/>
      <c r="CK9" s="16"/>
      <c r="CL9" s="19"/>
      <c r="CM9" s="16"/>
      <c r="CN9" s="19"/>
      <c r="CO9" s="16"/>
      <c r="CP9" s="19"/>
      <c r="CQ9" s="16"/>
      <c r="CR9" s="19"/>
      <c r="CS9" s="16"/>
      <c r="CT9" s="19"/>
      <c r="CU9" s="46"/>
      <c r="CV9" s="16"/>
      <c r="CW9" s="46"/>
      <c r="CX9" s="45"/>
      <c r="CY9" s="2"/>
      <c r="CZ9" s="2"/>
      <c r="DD9" s="6"/>
      <c r="DE9" s="2"/>
      <c r="DG9" s="8"/>
      <c r="DI9" s="8"/>
      <c r="DJ9" s="8"/>
      <c r="DK9" s="8"/>
      <c r="DL9" s="8"/>
      <c r="DM9" s="8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5"/>
      <c r="DZ9" s="1"/>
      <c r="EB9" s="1"/>
      <c r="ED9" s="1"/>
      <c r="EE9" s="1"/>
      <c r="EF9" s="2"/>
      <c r="EG9" s="2"/>
      <c r="EI9" s="7"/>
      <c r="EK9" s="7"/>
      <c r="EM9" s="7"/>
      <c r="EO9" s="7"/>
      <c r="EP9" s="7"/>
      <c r="EQ9" s="7"/>
      <c r="ER9" s="7"/>
      <c r="ET9" s="7"/>
      <c r="EV9" s="7"/>
      <c r="EX9" s="7"/>
      <c r="EZ9" s="7"/>
      <c r="FA9" s="7"/>
      <c r="FB9" s="7"/>
      <c r="FC9" s="7"/>
      <c r="FE9" s="7"/>
      <c r="FG9" s="7"/>
      <c r="FI9" s="7"/>
      <c r="FK9" s="7"/>
      <c r="FM9" s="7"/>
      <c r="FN9" s="7"/>
      <c r="FO9" s="7"/>
      <c r="FP9" s="7"/>
      <c r="FR9" s="7"/>
      <c r="FT9" s="7"/>
      <c r="FV9" s="7"/>
      <c r="FX9" s="7"/>
      <c r="FZ9" s="7"/>
      <c r="GA9" s="7"/>
      <c r="GB9" s="7"/>
      <c r="GC9" s="7"/>
      <c r="GE9" s="7"/>
      <c r="GG9" s="7"/>
      <c r="GI9" s="7"/>
      <c r="GK9" s="7"/>
      <c r="GL9" s="2"/>
      <c r="GM9" s="2"/>
      <c r="GN9" s="2"/>
    </row>
    <row r="10" spans="1:199" ht="15.75" x14ac:dyDescent="0.25">
      <c r="A10" t="s">
        <v>6</v>
      </c>
      <c r="B10" s="209">
        <v>47.33</v>
      </c>
      <c r="C10" s="69">
        <f>B10/AVERAGE(L10)</f>
        <v>1.5421961550993808</v>
      </c>
      <c r="D10" s="191">
        <v>53.66</v>
      </c>
      <c r="E10" s="69">
        <f>D10/AVERAGE(L10)</f>
        <v>1.7484522645812965</v>
      </c>
      <c r="F10" s="191">
        <v>53.67</v>
      </c>
      <c r="G10" s="69">
        <f>F10/AVERAGE(L10)</f>
        <v>1.7487781036168133</v>
      </c>
      <c r="H10" s="211"/>
      <c r="I10" s="214">
        <f>AVERAGE(B10,D10,F10)</f>
        <v>51.553333333333335</v>
      </c>
      <c r="J10" s="69">
        <f>STDEV(B10,D10,F10)/I10</f>
        <v>7.0946282935535496E-2</v>
      </c>
      <c r="K10" s="16"/>
      <c r="L10" s="216">
        <v>30.69</v>
      </c>
      <c r="M10" s="216">
        <v>32.14</v>
      </c>
      <c r="N10" s="217">
        <f>AVERAGE(M10,L10)</f>
        <v>31.414999999999999</v>
      </c>
      <c r="O10" s="218">
        <f>ABS(L10-M10)/AVERAGE(L10:M10)</f>
        <v>4.6156294763647916E-2</v>
      </c>
      <c r="P10" s="38"/>
      <c r="Q10" s="38"/>
      <c r="R10" s="16"/>
      <c r="S10" s="209"/>
      <c r="T10" s="191"/>
      <c r="U10" s="191"/>
      <c r="V10" s="191"/>
      <c r="W10" s="191"/>
      <c r="X10" s="191"/>
      <c r="Y10" s="191"/>
      <c r="Z10" s="191"/>
      <c r="AA10" s="191"/>
      <c r="AB10" s="191"/>
      <c r="AC10" s="22"/>
      <c r="AD10" s="45"/>
      <c r="AE10" s="43"/>
      <c r="AF10" s="209">
        <v>30.03</v>
      </c>
      <c r="AG10" s="191">
        <f>AF10/0.5*10</f>
        <v>600.6</v>
      </c>
      <c r="AH10" s="191">
        <v>88.07</v>
      </c>
      <c r="AI10" s="191">
        <f>AH10/0.5*10</f>
        <v>1761.3999999999999</v>
      </c>
      <c r="AJ10" s="191">
        <v>65.86</v>
      </c>
      <c r="AK10" s="191">
        <f>AJ10/0.5*20</f>
        <v>2634.4</v>
      </c>
      <c r="AL10" s="191">
        <v>100.51</v>
      </c>
      <c r="AM10" s="191">
        <f>AL10/0.5*20</f>
        <v>4020.4</v>
      </c>
      <c r="AN10" s="191">
        <v>23</v>
      </c>
      <c r="AO10" s="191">
        <f>AN10/0.5*100</f>
        <v>4600</v>
      </c>
      <c r="AP10" s="225"/>
      <c r="AQ10" s="191" t="s">
        <v>53</v>
      </c>
      <c r="AR10" s="69"/>
      <c r="AS10" s="191" t="s">
        <v>53</v>
      </c>
      <c r="AT10" s="69"/>
      <c r="AU10" s="225"/>
      <c r="AV10" s="45"/>
      <c r="AW10" s="16"/>
      <c r="AX10" s="45"/>
      <c r="AY10" s="19"/>
      <c r="AZ10" s="43"/>
      <c r="BA10" s="16"/>
      <c r="BB10" s="16"/>
      <c r="BC10" s="16"/>
      <c r="BD10" s="16"/>
      <c r="BE10" s="16"/>
      <c r="BF10" s="38"/>
      <c r="BG10" s="16"/>
      <c r="BH10" s="38"/>
      <c r="BI10" s="16"/>
      <c r="BJ10" s="43"/>
      <c r="BK10" s="16"/>
      <c r="BL10" s="16"/>
      <c r="BM10" s="16"/>
      <c r="BN10" s="16"/>
      <c r="BO10" s="16"/>
      <c r="BP10" s="38"/>
      <c r="BQ10" s="16"/>
      <c r="BR10" s="38"/>
      <c r="BS10" s="20"/>
      <c r="BT10" s="43"/>
      <c r="BU10" s="16"/>
      <c r="BV10" s="16"/>
      <c r="BW10" s="16"/>
      <c r="BX10" s="16"/>
      <c r="BY10" s="16"/>
      <c r="BZ10" s="38"/>
      <c r="CA10" s="16"/>
      <c r="CB10" s="38"/>
      <c r="CC10" s="16"/>
      <c r="CH10" s="19"/>
      <c r="CI10" s="16"/>
      <c r="CJ10" s="19"/>
      <c r="CK10" s="16"/>
      <c r="CL10" s="19"/>
      <c r="CM10" s="16"/>
      <c r="CN10" s="19"/>
      <c r="CO10" s="16"/>
      <c r="CP10" s="19"/>
      <c r="CQ10" s="16"/>
      <c r="CR10" s="19"/>
      <c r="CS10" s="16"/>
      <c r="CT10" s="19"/>
      <c r="CU10" s="46"/>
      <c r="CV10" s="16"/>
      <c r="CW10" s="46"/>
      <c r="CX10" s="45"/>
      <c r="CY10" s="2"/>
      <c r="CZ10" s="2"/>
      <c r="DC10" s="1"/>
      <c r="DD10" s="6"/>
      <c r="DE10" s="2"/>
      <c r="DG10" s="8"/>
      <c r="DI10" s="8"/>
      <c r="DJ10" s="8"/>
      <c r="DK10" s="8"/>
      <c r="DL10" s="8"/>
      <c r="DM10" s="8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5"/>
      <c r="DZ10" s="1"/>
      <c r="EB10" s="1"/>
      <c r="ED10" s="1"/>
      <c r="EE10" s="1"/>
      <c r="EF10" s="2"/>
      <c r="EG10" s="2"/>
      <c r="EI10" s="7"/>
      <c r="EK10" s="7"/>
      <c r="EM10" s="7"/>
      <c r="EO10" s="7"/>
      <c r="EP10" s="7"/>
      <c r="EQ10" s="7"/>
      <c r="ER10" s="7"/>
      <c r="ET10" s="7"/>
      <c r="EV10" s="7"/>
      <c r="EX10" s="7"/>
      <c r="EZ10" s="7"/>
      <c r="FA10" s="7"/>
      <c r="FB10" s="7"/>
      <c r="FC10" s="7"/>
      <c r="FE10" s="7"/>
      <c r="FG10" s="7"/>
      <c r="FI10" s="7"/>
      <c r="FK10" s="7"/>
      <c r="FM10" s="7"/>
      <c r="FN10" s="7"/>
      <c r="FO10" s="7"/>
      <c r="FP10" s="7"/>
      <c r="FR10" s="7"/>
      <c r="FT10" s="7"/>
      <c r="FV10" s="7"/>
      <c r="FX10" s="7"/>
      <c r="FZ10" s="7"/>
      <c r="GA10" s="7"/>
      <c r="GB10" s="7"/>
      <c r="GC10" s="7"/>
      <c r="GE10" s="7"/>
      <c r="GG10" s="7"/>
      <c r="GI10" s="7"/>
      <c r="GK10" s="7"/>
      <c r="GL10" s="2"/>
      <c r="GM10" s="2"/>
      <c r="GN10" s="2"/>
    </row>
    <row r="11" spans="1:199" ht="15.75" x14ac:dyDescent="0.25">
      <c r="A11" t="s">
        <v>17</v>
      </c>
      <c r="B11" s="212">
        <f>B9+B10</f>
        <v>70.78</v>
      </c>
      <c r="C11" s="69">
        <f>B11/AVERAGE(L11)</f>
        <v>1.5628173989843233</v>
      </c>
      <c r="D11" s="212">
        <f>D9+D10</f>
        <v>80</v>
      </c>
      <c r="E11" s="69">
        <f>D11/AVERAGE(L11)</f>
        <v>1.7663943475380879</v>
      </c>
      <c r="F11" s="212">
        <f>F9+F10</f>
        <v>78.92</v>
      </c>
      <c r="G11" s="69">
        <f>F11/AVERAGE(L11)</f>
        <v>1.7425480238463238</v>
      </c>
      <c r="H11" s="211"/>
      <c r="I11" s="214">
        <f>AVERAGE(B11,D11,F11)</f>
        <v>76.566666666666663</v>
      </c>
      <c r="J11" s="69">
        <f>STDEV(B11,D11,F11)/I11</f>
        <v>6.5830344400050297E-2</v>
      </c>
      <c r="K11" s="19"/>
      <c r="L11" s="216">
        <f>L9+L10</f>
        <v>45.29</v>
      </c>
      <c r="M11" s="217">
        <f>M9+M10</f>
        <v>47.31</v>
      </c>
      <c r="N11" s="217">
        <f>AVERAGE(M11,L11)</f>
        <v>46.3</v>
      </c>
      <c r="O11" s="218">
        <f>ABS(L11-M11)/AVERAGE(L11:M11)</f>
        <v>4.3628509719222532E-2</v>
      </c>
      <c r="P11" s="38"/>
      <c r="Q11" s="38"/>
      <c r="R11" s="16"/>
      <c r="S11" s="212"/>
      <c r="T11" s="191"/>
      <c r="U11" s="212"/>
      <c r="V11" s="191"/>
      <c r="W11" s="191"/>
      <c r="X11" s="191"/>
      <c r="Y11" s="191"/>
      <c r="Z11" s="191"/>
      <c r="AA11" s="191"/>
      <c r="AB11" s="191"/>
      <c r="AC11" s="22"/>
      <c r="AD11" s="45"/>
      <c r="AE11" s="43"/>
      <c r="AF11" s="212">
        <f t="shared" ref="AF11:AO11" si="0">SUM(AF10,AF9)</f>
        <v>45.42</v>
      </c>
      <c r="AG11" s="212">
        <f t="shared" si="0"/>
        <v>908.40000000000009</v>
      </c>
      <c r="AH11" s="212">
        <f t="shared" si="0"/>
        <v>132.12</v>
      </c>
      <c r="AI11" s="212">
        <f t="shared" si="0"/>
        <v>2642.3999999999996</v>
      </c>
      <c r="AJ11" s="212">
        <f t="shared" si="0"/>
        <v>97.62</v>
      </c>
      <c r="AK11" s="212">
        <f t="shared" si="0"/>
        <v>3904.8</v>
      </c>
      <c r="AL11" s="212">
        <f t="shared" si="0"/>
        <v>148.9</v>
      </c>
      <c r="AM11" s="212">
        <f t="shared" si="0"/>
        <v>5956</v>
      </c>
      <c r="AN11" s="212">
        <f t="shared" si="0"/>
        <v>35.54</v>
      </c>
      <c r="AO11" s="212">
        <f t="shared" si="0"/>
        <v>7108</v>
      </c>
      <c r="AP11" s="225" t="s">
        <v>81</v>
      </c>
      <c r="AQ11" s="191" t="s">
        <v>53</v>
      </c>
      <c r="AR11" s="69"/>
      <c r="AS11" s="191" t="s">
        <v>53</v>
      </c>
      <c r="AT11" s="69"/>
      <c r="AU11" s="225"/>
      <c r="AV11" s="45"/>
      <c r="AW11" s="16"/>
      <c r="AX11" s="45"/>
      <c r="AY11" s="19"/>
      <c r="AZ11" s="19"/>
      <c r="BA11" s="16"/>
      <c r="BB11" s="19"/>
      <c r="BC11" s="16"/>
      <c r="BD11" s="19"/>
      <c r="BE11" s="16"/>
      <c r="BF11" s="38"/>
      <c r="BG11" s="16"/>
      <c r="BH11" s="38"/>
      <c r="BI11" s="19"/>
      <c r="BJ11" s="19"/>
      <c r="BK11" s="16"/>
      <c r="BL11" s="19"/>
      <c r="BM11" s="16"/>
      <c r="BN11" s="19"/>
      <c r="BO11" s="16"/>
      <c r="BP11" s="38"/>
      <c r="BQ11" s="16"/>
      <c r="BR11" s="38"/>
      <c r="BS11" s="20"/>
      <c r="BT11" s="19"/>
      <c r="BU11" s="16"/>
      <c r="BV11" s="19"/>
      <c r="BW11" s="16"/>
      <c r="BX11" s="19"/>
      <c r="BY11" s="16"/>
      <c r="BZ11" s="38"/>
      <c r="CA11" s="16"/>
      <c r="CB11" s="38"/>
      <c r="CC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46"/>
      <c r="CV11" s="16"/>
      <c r="CW11" s="46"/>
      <c r="CX11" s="45"/>
      <c r="CY11" s="2"/>
      <c r="CZ11" s="2"/>
      <c r="DC11" s="1"/>
      <c r="DD11" s="6"/>
      <c r="DE11" s="2"/>
      <c r="DG11" s="8"/>
      <c r="DI11" s="8"/>
      <c r="DJ11" s="8"/>
      <c r="DK11" s="8"/>
      <c r="DL11" s="8"/>
      <c r="DM11" s="8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5"/>
      <c r="DZ11" s="1"/>
      <c r="EB11" s="1"/>
      <c r="ED11" s="1"/>
      <c r="EE11" s="1"/>
      <c r="EF11" s="2"/>
      <c r="EG11" s="2"/>
      <c r="EI11" s="7"/>
      <c r="EK11" s="7"/>
      <c r="EM11" s="7"/>
      <c r="EO11" s="7"/>
      <c r="EP11" s="7"/>
      <c r="EQ11" s="7"/>
      <c r="ER11" s="7"/>
      <c r="ET11" s="7"/>
      <c r="EV11" s="7"/>
      <c r="EX11" s="7"/>
      <c r="EZ11" s="7"/>
      <c r="FA11" s="7"/>
      <c r="FB11" s="7"/>
      <c r="FC11" s="7"/>
      <c r="FE11" s="7"/>
      <c r="FG11" s="7"/>
      <c r="FI11" s="7"/>
      <c r="FK11" s="7"/>
      <c r="FM11" s="7"/>
      <c r="FN11" s="7"/>
      <c r="FO11" s="7"/>
      <c r="FP11" s="7"/>
      <c r="FR11" s="7"/>
      <c r="FT11" s="7"/>
      <c r="FV11" s="7"/>
      <c r="FX11" s="7"/>
      <c r="FZ11" s="7"/>
      <c r="GA11" s="7"/>
      <c r="GB11" s="7"/>
      <c r="GC11" s="7"/>
      <c r="GE11" s="7"/>
      <c r="GG11" s="7"/>
      <c r="GI11" s="7"/>
      <c r="GK11" s="7"/>
      <c r="GL11" s="2"/>
      <c r="GM11" s="2"/>
      <c r="GN11" s="2"/>
    </row>
    <row r="12" spans="1:199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19">
        <f>(L7+L8+L11)/3</f>
        <v>39.713333333333331</v>
      </c>
      <c r="M12" s="219">
        <f>(M7+M8+M11)/3</f>
        <v>39.656666666666666</v>
      </c>
      <c r="N12" s="219">
        <f>(N7+N8+N11)/3</f>
        <v>39.684999999999995</v>
      </c>
      <c r="O12" s="219"/>
      <c r="P12" s="37"/>
      <c r="Q12" s="37"/>
      <c r="R12" s="19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21"/>
      <c r="AD12" s="21"/>
      <c r="AE12" s="20"/>
      <c r="AF12" s="31"/>
      <c r="AG12" s="69">
        <f>AG11/AF13</f>
        <v>0.9084000000000001</v>
      </c>
      <c r="AH12" s="31"/>
      <c r="AI12" s="69">
        <f>AI11/AH13</f>
        <v>0.88079999999999992</v>
      </c>
      <c r="AJ12" s="31"/>
      <c r="AK12" s="69">
        <f>AK11/AJ13</f>
        <v>0.97620000000000007</v>
      </c>
      <c r="AL12" s="31"/>
      <c r="AM12" s="69">
        <f>AM11/AL13</f>
        <v>0.9926666666666667</v>
      </c>
      <c r="AN12" s="31"/>
      <c r="AO12" s="69">
        <f>AO11/AN13</f>
        <v>0.88849999999999996</v>
      </c>
      <c r="AP12" s="69">
        <f>AVERAGE(AG12,AI12,AK12,AM12,AO12)</f>
        <v>0.92931333333333332</v>
      </c>
      <c r="AQ12" s="31"/>
      <c r="AR12" s="31"/>
      <c r="AS12" s="31"/>
      <c r="AT12" s="31"/>
      <c r="AU12" s="21"/>
      <c r="AV12" s="21"/>
      <c r="AW12" s="21"/>
      <c r="AX12" s="21"/>
      <c r="AY12" s="20"/>
      <c r="AZ12" s="66"/>
      <c r="BA12" s="66"/>
      <c r="BB12" s="66"/>
      <c r="BC12" s="66"/>
      <c r="BD12" s="66"/>
      <c r="BE12" s="66"/>
      <c r="BF12" s="21"/>
      <c r="BG12" s="66"/>
      <c r="BH12" s="66"/>
      <c r="BI12" s="21"/>
      <c r="BJ12" s="66"/>
      <c r="BK12" s="66"/>
      <c r="BL12" s="66"/>
      <c r="BM12" s="66"/>
      <c r="BN12" s="66"/>
      <c r="BO12" s="66"/>
      <c r="BP12" s="21"/>
      <c r="BQ12" s="66"/>
      <c r="BR12" s="66"/>
      <c r="BS12" s="16"/>
      <c r="BT12" s="66"/>
      <c r="BU12" s="66"/>
      <c r="BV12" s="66"/>
      <c r="BW12" s="66"/>
      <c r="BX12" s="66"/>
      <c r="BY12" s="66"/>
      <c r="BZ12" s="21"/>
      <c r="CA12" s="66"/>
      <c r="CB12" s="66"/>
      <c r="CC12" s="16"/>
      <c r="CH12" s="20"/>
      <c r="CI12" s="19"/>
      <c r="CJ12" s="20"/>
      <c r="CK12" s="16"/>
      <c r="CL12" s="20"/>
      <c r="CM12" s="16"/>
      <c r="CN12" s="20"/>
      <c r="CO12" s="16"/>
      <c r="CP12" s="20"/>
      <c r="CQ12" s="19"/>
      <c r="CR12" s="20"/>
      <c r="CS12" s="16"/>
      <c r="CT12" s="20"/>
      <c r="CU12" s="16"/>
      <c r="CV12" s="16"/>
      <c r="CW12" s="16"/>
      <c r="CX12" s="16"/>
      <c r="DD12" s="6"/>
      <c r="DE12" s="2"/>
      <c r="DG12" s="8"/>
      <c r="DI12" s="8"/>
      <c r="DJ12" s="8"/>
      <c r="DK12" s="8"/>
      <c r="DL12" s="8"/>
      <c r="DM12" s="8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EK12" s="5"/>
      <c r="EU12" s="2"/>
    </row>
    <row r="13" spans="1:199" ht="15.75" x14ac:dyDescent="0.25">
      <c r="A13" t="s">
        <v>32</v>
      </c>
      <c r="B13" s="32">
        <v>80</v>
      </c>
      <c r="C13" s="32"/>
      <c r="D13" s="32">
        <v>80</v>
      </c>
      <c r="E13" s="32"/>
      <c r="F13" s="32">
        <v>80</v>
      </c>
      <c r="G13" s="32"/>
      <c r="H13" s="41"/>
      <c r="I13" s="32"/>
      <c r="J13" s="32"/>
      <c r="K13" s="37"/>
      <c r="L13" s="219">
        <v>40</v>
      </c>
      <c r="M13" s="219">
        <v>40</v>
      </c>
      <c r="N13" s="219">
        <v>40</v>
      </c>
      <c r="O13" s="219"/>
      <c r="P13" s="37"/>
      <c r="Q13" s="37"/>
      <c r="R13" s="1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22"/>
      <c r="AD13" s="22"/>
      <c r="AE13" s="44"/>
      <c r="AF13" s="32">
        <v>1000</v>
      </c>
      <c r="AG13" s="59"/>
      <c r="AH13" s="59">
        <v>3000</v>
      </c>
      <c r="AI13" s="59"/>
      <c r="AJ13" s="59">
        <v>4000</v>
      </c>
      <c r="AK13" s="59"/>
      <c r="AL13" s="59">
        <v>6000</v>
      </c>
      <c r="AM13" s="59"/>
      <c r="AN13" s="59">
        <v>8000</v>
      </c>
      <c r="AO13" s="32"/>
      <c r="AP13" s="22"/>
      <c r="AQ13" s="32"/>
      <c r="AR13" s="32"/>
      <c r="AS13" s="32"/>
      <c r="AT13" s="32"/>
      <c r="AU13" s="22"/>
      <c r="AV13" s="22"/>
      <c r="AW13" s="22"/>
      <c r="AX13" s="22"/>
      <c r="AY13" s="44"/>
      <c r="AZ13" s="67"/>
      <c r="BA13" s="67"/>
      <c r="BB13" s="67"/>
      <c r="BC13" s="67"/>
      <c r="BD13" s="67"/>
      <c r="BE13" s="67"/>
      <c r="BF13" s="22"/>
      <c r="BG13" s="67"/>
      <c r="BH13" s="67"/>
      <c r="BI13" s="22"/>
      <c r="BJ13" s="67"/>
      <c r="BK13" s="67"/>
      <c r="BL13" s="67"/>
      <c r="BM13" s="67"/>
      <c r="BN13" s="67"/>
      <c r="BO13" s="67"/>
      <c r="BP13" s="22"/>
      <c r="BQ13" s="67"/>
      <c r="BR13" s="67"/>
      <c r="BS13" s="19"/>
      <c r="BT13" s="67"/>
      <c r="BU13" s="67"/>
      <c r="BV13" s="67"/>
      <c r="BW13" s="67"/>
      <c r="BX13" s="67"/>
      <c r="BY13" s="67"/>
      <c r="BZ13" s="22"/>
      <c r="CA13" s="67"/>
      <c r="CB13" s="67"/>
      <c r="CC13" s="16"/>
      <c r="CH13" s="44"/>
      <c r="CI13" s="16"/>
      <c r="CJ13" s="44"/>
      <c r="CK13" s="16"/>
      <c r="CL13" s="44"/>
      <c r="CM13" s="16"/>
      <c r="CN13" s="44"/>
      <c r="CO13" s="16"/>
      <c r="CP13" s="44"/>
      <c r="CQ13" s="16"/>
      <c r="CR13" s="44"/>
      <c r="CS13" s="16"/>
      <c r="CT13" s="44"/>
      <c r="CU13" s="19"/>
      <c r="CV13" s="19"/>
      <c r="CW13" s="19"/>
      <c r="CX13" s="19"/>
      <c r="CY13" s="1"/>
      <c r="CZ13" s="1"/>
      <c r="DD13" s="6"/>
      <c r="DE13" s="2"/>
      <c r="DG13" s="8"/>
      <c r="DI13" s="8"/>
      <c r="DJ13" s="8"/>
      <c r="DK13" s="8"/>
      <c r="DL13" s="8"/>
      <c r="DM13" s="8"/>
      <c r="DN13" s="14"/>
      <c r="DO13" s="15"/>
      <c r="DP13" s="15"/>
      <c r="DQ13" s="15"/>
      <c r="DR13" s="15"/>
      <c r="DS13" s="15"/>
      <c r="DT13" s="15"/>
      <c r="DU13" s="15"/>
      <c r="DV13" s="14"/>
      <c r="DW13" s="14"/>
      <c r="DX13" s="14"/>
      <c r="EA13" s="2"/>
      <c r="ES13" s="2"/>
    </row>
    <row r="14" spans="1:199" ht="15.75" x14ac:dyDescent="0.25">
      <c r="A14" t="s">
        <v>11</v>
      </c>
      <c r="B14" s="69">
        <f>ABS(B11-B13)/B13</f>
        <v>0.11524999999999999</v>
      </c>
      <c r="C14" s="210"/>
      <c r="D14" s="69">
        <f>ABS(D11-D13)/D13</f>
        <v>0</v>
      </c>
      <c r="E14" s="211"/>
      <c r="F14" s="69">
        <f>ABS(F11-F13)/F13</f>
        <v>1.3499999999999979E-2</v>
      </c>
      <c r="G14" s="211"/>
      <c r="H14" s="211"/>
      <c r="I14" s="211"/>
      <c r="J14" s="211"/>
      <c r="K14" s="38"/>
      <c r="L14" s="220">
        <f>(L12-L13)/L13</f>
        <v>-7.1666666666667213E-3</v>
      </c>
      <c r="M14" s="218">
        <f>(M12-M13)/M13</f>
        <v>-8.5833333333333421E-3</v>
      </c>
      <c r="N14" s="218">
        <f>(N12-N13)/N13</f>
        <v>-7.8750000000001215E-3</v>
      </c>
      <c r="O14" s="221"/>
      <c r="P14" s="19"/>
      <c r="Q14" s="19"/>
      <c r="R14" s="19"/>
      <c r="S14" s="223"/>
      <c r="T14" s="224"/>
      <c r="U14" s="223"/>
      <c r="V14" s="73"/>
      <c r="W14" s="223"/>
      <c r="X14" s="73"/>
      <c r="Y14" s="73"/>
      <c r="Z14" s="73"/>
      <c r="AA14" s="73"/>
      <c r="AB14" s="73"/>
      <c r="AC14" s="73"/>
      <c r="AD14" s="38"/>
      <c r="AE14" s="16"/>
      <c r="AF14" s="228">
        <f>ABS(AG11-AF13)/AF13</f>
        <v>9.1599999999999904E-2</v>
      </c>
      <c r="AG14" s="229"/>
      <c r="AH14" s="228">
        <f>ABS(AI11-AH13)/AH13</f>
        <v>0.11920000000000013</v>
      </c>
      <c r="AI14" s="230"/>
      <c r="AJ14" s="228">
        <f>ABS(AK11-AJ13)/AJ13</f>
        <v>2.3799999999999953E-2</v>
      </c>
      <c r="AK14" s="230"/>
      <c r="AL14" s="228">
        <f>ABS(AM11-AL13)/AL13</f>
        <v>7.3333333333333332E-3</v>
      </c>
      <c r="AM14" s="230"/>
      <c r="AN14" s="228">
        <f>ABS(AO11-AN13)/AN13</f>
        <v>0.1115</v>
      </c>
      <c r="AO14" s="22"/>
      <c r="AP14" s="225"/>
      <c r="AQ14" s="73"/>
      <c r="AR14" s="231"/>
      <c r="AS14" s="73"/>
      <c r="AT14" s="231"/>
      <c r="AU14" s="73"/>
      <c r="AV14" s="38"/>
      <c r="AW14" s="38"/>
      <c r="AX14" s="38"/>
      <c r="AY14" s="16"/>
      <c r="AZ14" s="23"/>
      <c r="BA14" s="23"/>
      <c r="BB14" s="38"/>
      <c r="BC14" s="38"/>
      <c r="BD14" s="38"/>
      <c r="BE14" s="38"/>
      <c r="BF14" s="38"/>
      <c r="BG14" s="38"/>
      <c r="BH14" s="38"/>
      <c r="BI14" s="20"/>
      <c r="BJ14" s="23"/>
      <c r="BK14" s="23"/>
      <c r="BL14" s="23"/>
      <c r="BM14" s="38"/>
      <c r="BN14" s="23"/>
      <c r="BO14" s="38"/>
      <c r="BP14" s="38"/>
      <c r="BQ14" s="38"/>
      <c r="BR14" s="38"/>
      <c r="BS14" s="16"/>
      <c r="BT14" s="38"/>
      <c r="BU14" s="23"/>
      <c r="BV14" s="38"/>
      <c r="BW14" s="38"/>
      <c r="BX14" s="38"/>
      <c r="BY14" s="38"/>
      <c r="BZ14" s="38"/>
      <c r="CA14" s="38"/>
      <c r="CB14" s="38"/>
      <c r="CC14" s="16"/>
      <c r="CH14" s="19"/>
      <c r="CI14" s="19"/>
      <c r="CJ14" s="19"/>
      <c r="CK14" s="19"/>
      <c r="CL14" s="19"/>
      <c r="CM14" s="19"/>
      <c r="CN14" s="19"/>
      <c r="CO14" s="16"/>
      <c r="CP14" s="16"/>
      <c r="CQ14" s="16"/>
      <c r="CR14" s="47"/>
      <c r="CS14" s="16"/>
      <c r="CT14" s="16"/>
      <c r="CU14" s="16"/>
      <c r="CV14" s="16"/>
      <c r="CW14" s="16"/>
      <c r="CX14" s="16"/>
      <c r="DD14" s="6"/>
      <c r="DE14" s="2"/>
      <c r="DG14" s="8"/>
      <c r="DI14" s="8"/>
      <c r="DJ14" s="8"/>
      <c r="DK14" s="8"/>
      <c r="DL14" s="8"/>
      <c r="DM14" s="8"/>
      <c r="DN14" s="14"/>
      <c r="DO14" s="42"/>
      <c r="DP14" s="42"/>
      <c r="DQ14" s="42"/>
      <c r="DR14" s="42"/>
      <c r="DS14" s="42"/>
      <c r="DT14" s="42"/>
      <c r="DU14" s="42"/>
      <c r="DV14" s="15"/>
      <c r="DW14" s="14"/>
      <c r="DX14" s="14"/>
    </row>
    <row r="15" spans="1:199" ht="60" x14ac:dyDescent="0.25">
      <c r="A15" t="s">
        <v>12</v>
      </c>
      <c r="B15" s="213"/>
      <c r="C15" s="213"/>
      <c r="D15" s="213"/>
      <c r="E15" s="213"/>
      <c r="F15" s="213"/>
      <c r="G15" s="213"/>
      <c r="H15" s="213"/>
      <c r="I15" s="213"/>
      <c r="J15" s="213"/>
      <c r="K15" s="1"/>
      <c r="L15" s="1"/>
      <c r="M15" s="1"/>
      <c r="Q15" s="35"/>
      <c r="R15" s="68" t="s">
        <v>79</v>
      </c>
      <c r="S15" s="69">
        <f>AVERAGE(T8,T19)</f>
        <v>0.94073159498111347</v>
      </c>
      <c r="T15" s="41"/>
      <c r="U15" s="69">
        <f>AVERAGE(V8,V19)</f>
        <v>0.96140059381648513</v>
      </c>
      <c r="V15" s="41"/>
      <c r="W15" s="69">
        <f>AVERAGE(X8,X19)</f>
        <v>0.98176690899154884</v>
      </c>
      <c r="X15" s="41"/>
      <c r="Y15" s="69">
        <f>AVERAGE(Z8,Z19)</f>
        <v>0.97979841365289355</v>
      </c>
      <c r="Z15" s="41"/>
      <c r="AA15" s="69">
        <f>AVERAGE(AB8,AB19)</f>
        <v>1.0065568787248007</v>
      </c>
      <c r="AB15" s="22"/>
      <c r="AC15" s="22"/>
      <c r="AD15" s="16"/>
      <c r="AE15" s="68" t="s">
        <v>80</v>
      </c>
      <c r="AF15" s="232">
        <f>AVERAGE(AG11,AG22)</f>
        <v>662.1</v>
      </c>
      <c r="AG15" s="41"/>
      <c r="AH15" s="232">
        <f>AVERAGE(AI11,AI22)</f>
        <v>2352</v>
      </c>
      <c r="AI15" s="41"/>
      <c r="AJ15" s="232">
        <f>AVERAGE(AK11,AK22)</f>
        <v>4288</v>
      </c>
      <c r="AK15" s="41"/>
      <c r="AL15" s="232">
        <f>AVERAGE(AM11,AM22)</f>
        <v>6128</v>
      </c>
      <c r="AM15" s="41"/>
      <c r="AN15" s="232">
        <f>AVERAGE(AO11,AO22)</f>
        <v>6826</v>
      </c>
      <c r="AO15" s="22"/>
      <c r="AP15" s="22"/>
      <c r="AQ15" s="22"/>
      <c r="AR15" s="22"/>
      <c r="AS15" s="22"/>
      <c r="AT15" s="233"/>
      <c r="AU15" s="22"/>
      <c r="AV15" s="16"/>
      <c r="AW15" s="16"/>
      <c r="AX15" s="16"/>
      <c r="AY15" s="16"/>
      <c r="AZ15" s="16"/>
      <c r="BA15" s="16"/>
      <c r="BB15" s="19"/>
      <c r="BC15" s="19"/>
      <c r="BD15" s="19"/>
      <c r="BE15" s="19"/>
      <c r="BF15" s="19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20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DD15" s="6"/>
      <c r="DE15" s="2"/>
      <c r="DG15" s="8"/>
      <c r="DI15" s="8"/>
      <c r="DJ15" s="8"/>
      <c r="DK15" s="8"/>
      <c r="DL15" s="8"/>
      <c r="DM15" s="8"/>
      <c r="DN15" s="14"/>
      <c r="DO15" s="42"/>
      <c r="DP15" s="42"/>
      <c r="DQ15" s="42"/>
      <c r="DR15" s="42"/>
      <c r="DS15" s="42"/>
      <c r="DT15" s="42"/>
      <c r="DU15" s="42"/>
      <c r="DV15" s="14"/>
      <c r="DW15" s="14"/>
      <c r="DX15" s="14"/>
    </row>
    <row r="16" spans="1:199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R16" s="16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16"/>
      <c r="AE16" s="16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16"/>
      <c r="AW16" s="16"/>
      <c r="AX16" s="16"/>
      <c r="AY16" s="16"/>
      <c r="AZ16" s="16"/>
      <c r="BA16" s="16"/>
      <c r="BB16" s="19"/>
      <c r="BC16" s="19"/>
      <c r="BD16" s="19"/>
      <c r="BE16" s="19"/>
      <c r="BF16" s="19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DD16" s="6"/>
      <c r="DE16" s="2"/>
      <c r="DG16" s="8"/>
      <c r="DI16" s="8"/>
      <c r="DJ16" s="8"/>
      <c r="DK16" s="8"/>
      <c r="DL16" s="8"/>
      <c r="DM16" s="8"/>
      <c r="DN16" s="14"/>
      <c r="DO16" s="42"/>
      <c r="DP16" s="42"/>
      <c r="DQ16" s="42"/>
      <c r="DR16" s="42"/>
      <c r="DS16" s="42"/>
      <c r="DT16" s="42"/>
      <c r="DU16" s="42"/>
      <c r="DV16" s="14"/>
      <c r="DW16" s="14"/>
      <c r="DX16" s="14"/>
    </row>
    <row r="17" spans="1:128" ht="45" x14ac:dyDescent="0.25">
      <c r="A17" t="s">
        <v>22</v>
      </c>
      <c r="B17" s="206" t="s">
        <v>47</v>
      </c>
      <c r="C17" s="97" t="s">
        <v>16</v>
      </c>
      <c r="D17" s="207" t="s">
        <v>48</v>
      </c>
      <c r="E17" s="97" t="s">
        <v>16</v>
      </c>
      <c r="F17" s="207" t="s">
        <v>49</v>
      </c>
      <c r="G17" s="97" t="s">
        <v>16</v>
      </c>
      <c r="H17" s="208"/>
      <c r="I17" s="206" t="s">
        <v>31</v>
      </c>
      <c r="J17" s="206" t="s">
        <v>33</v>
      </c>
      <c r="K17" s="1"/>
      <c r="L17" s="57"/>
      <c r="M17" s="17"/>
      <c r="N17" s="18"/>
      <c r="O17" s="17"/>
      <c r="P17" s="17"/>
      <c r="Q17" s="17"/>
      <c r="R17" s="18"/>
      <c r="S17" s="206" t="s">
        <v>61</v>
      </c>
      <c r="T17" s="97" t="s">
        <v>16</v>
      </c>
      <c r="U17" s="207" t="s">
        <v>62</v>
      </c>
      <c r="V17" s="97" t="s">
        <v>16</v>
      </c>
      <c r="W17" s="207" t="s">
        <v>63</v>
      </c>
      <c r="X17" s="97" t="s">
        <v>16</v>
      </c>
      <c r="Y17" s="207" t="s">
        <v>64</v>
      </c>
      <c r="Z17" s="97" t="s">
        <v>16</v>
      </c>
      <c r="AA17" s="207" t="s">
        <v>65</v>
      </c>
      <c r="AB17" s="97" t="s">
        <v>16</v>
      </c>
      <c r="AC17" s="222"/>
      <c r="AD17" s="17"/>
      <c r="AE17" s="18"/>
      <c r="AF17" s="206" t="s">
        <v>66</v>
      </c>
      <c r="AG17" s="97" t="s">
        <v>16</v>
      </c>
      <c r="AH17" s="207" t="s">
        <v>67</v>
      </c>
      <c r="AI17" s="97" t="s">
        <v>16</v>
      </c>
      <c r="AJ17" s="207" t="s">
        <v>68</v>
      </c>
      <c r="AK17" s="97" t="s">
        <v>16</v>
      </c>
      <c r="AL17" s="207" t="s">
        <v>69</v>
      </c>
      <c r="AM17" s="97" t="s">
        <v>16</v>
      </c>
      <c r="AN17" s="207" t="s">
        <v>70</v>
      </c>
      <c r="AO17" s="97" t="s">
        <v>16</v>
      </c>
      <c r="AP17" s="222"/>
      <c r="AQ17" s="149"/>
      <c r="AR17" s="234"/>
      <c r="AS17" s="149"/>
      <c r="AT17" s="234"/>
      <c r="AU17" s="149"/>
      <c r="AV17" s="17"/>
      <c r="AW17" s="17"/>
      <c r="AX17" s="17"/>
      <c r="AY17" s="18"/>
      <c r="AZ17" s="63"/>
      <c r="BA17" s="18"/>
      <c r="BB17" s="64"/>
      <c r="BC17" s="18"/>
      <c r="BD17" s="64"/>
      <c r="BE17" s="18"/>
      <c r="BF17" s="17"/>
      <c r="BG17" s="63"/>
      <c r="BH17" s="63"/>
      <c r="BI17" s="17"/>
      <c r="BJ17" s="65"/>
      <c r="BK17" s="18"/>
      <c r="BL17" s="64"/>
      <c r="BM17" s="18"/>
      <c r="BN17" s="64"/>
      <c r="BO17" s="18"/>
      <c r="BP17" s="17"/>
      <c r="BQ17" s="63"/>
      <c r="BR17" s="63"/>
      <c r="BS17" s="16"/>
      <c r="BT17" s="65"/>
      <c r="BU17" s="18"/>
      <c r="BV17" s="64"/>
      <c r="BW17" s="18"/>
      <c r="BX17" s="64"/>
      <c r="BY17" s="18"/>
      <c r="BZ17" s="17"/>
      <c r="CA17" s="63"/>
      <c r="CB17" s="63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DD17" s="6"/>
      <c r="DE17" s="2"/>
      <c r="DG17" s="8"/>
      <c r="DI17" s="8"/>
      <c r="DJ17" s="8"/>
      <c r="DK17" s="8"/>
      <c r="DL17" s="8"/>
      <c r="DM17" s="8"/>
      <c r="DN17" s="14"/>
      <c r="DO17" s="42"/>
      <c r="DP17" s="42"/>
      <c r="DQ17" s="42"/>
      <c r="DR17" s="42"/>
      <c r="DS17" s="42"/>
      <c r="DT17" s="42"/>
      <c r="DU17" s="42"/>
      <c r="DV17" s="14"/>
      <c r="DW17" s="14"/>
      <c r="DX17" s="14"/>
    </row>
    <row r="18" spans="1:128" x14ac:dyDescent="0.25">
      <c r="B18" s="209">
        <v>1.83</v>
      </c>
      <c r="C18" s="99">
        <f>B18/AVERAGE($L7:$M7)</f>
        <v>4.8748002131060203E-2</v>
      </c>
      <c r="D18" s="191">
        <v>1.84</v>
      </c>
      <c r="E18" s="99">
        <f>D18/AVERAGE($L7:$M7)</f>
        <v>4.9014384656366546E-2</v>
      </c>
      <c r="F18" s="191">
        <v>1.87</v>
      </c>
      <c r="G18" s="99">
        <f>F18/AVERAGE($L7:$M7)</f>
        <v>4.9813532232285566E-2</v>
      </c>
      <c r="H18" s="210"/>
      <c r="I18" s="214">
        <f>AVERAGE(B18,D18,F18)</f>
        <v>1.8466666666666667</v>
      </c>
      <c r="J18" s="69">
        <f>STDEV(B18,D18,F18)/I18</f>
        <v>1.1272559563896035E-2</v>
      </c>
      <c r="K18" s="1"/>
      <c r="L18" s="58"/>
      <c r="M18" s="1"/>
      <c r="O18" s="38"/>
      <c r="P18" s="38"/>
      <c r="Q18" s="38"/>
      <c r="R18" s="16"/>
      <c r="S18" s="209">
        <v>1.68</v>
      </c>
      <c r="T18" s="99">
        <f>S18/AVERAGE(M7)</f>
        <v>4.3749999999999997E-2</v>
      </c>
      <c r="U18" s="191">
        <v>1.73</v>
      </c>
      <c r="V18" s="99">
        <f>U18/AVERAGE(M7)</f>
        <v>4.5052083333333333E-2</v>
      </c>
      <c r="W18" s="191">
        <v>1.26</v>
      </c>
      <c r="X18" s="99">
        <f>W18/AVERAGE(M7)</f>
        <v>3.2812500000000001E-2</v>
      </c>
      <c r="Y18" s="191">
        <v>1.38</v>
      </c>
      <c r="Z18" s="99">
        <f>Y18/AVERAGE(M7)</f>
        <v>3.5937499999999997E-2</v>
      </c>
      <c r="AA18" s="191">
        <v>1.3</v>
      </c>
      <c r="AB18" s="99">
        <f>AA18/AVERAGE(M7)</f>
        <v>3.3854166666666671E-2</v>
      </c>
      <c r="AC18" s="22"/>
      <c r="AD18" s="38"/>
      <c r="AE18" s="20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227"/>
      <c r="AQ18" s="224"/>
      <c r="AR18" s="22"/>
      <c r="AS18" s="224"/>
      <c r="AT18" s="22"/>
      <c r="AU18" s="224"/>
      <c r="AV18" s="23"/>
      <c r="AW18" s="16"/>
      <c r="AX18" s="38"/>
      <c r="AY18" s="20"/>
      <c r="AZ18" s="43"/>
      <c r="BA18" s="23"/>
      <c r="BB18" s="16"/>
      <c r="BC18" s="23"/>
      <c r="BD18" s="16"/>
      <c r="BE18" s="23"/>
      <c r="BF18" s="23"/>
      <c r="BG18" s="16"/>
      <c r="BH18" s="38"/>
      <c r="BI18" s="16"/>
      <c r="BJ18" s="43"/>
      <c r="BK18" s="23"/>
      <c r="BL18" s="16"/>
      <c r="BM18" s="23"/>
      <c r="BN18" s="16"/>
      <c r="BO18" s="23"/>
      <c r="BP18" s="23"/>
      <c r="BQ18" s="16"/>
      <c r="BR18" s="38"/>
      <c r="BS18" s="20"/>
      <c r="BT18" s="43"/>
      <c r="BU18" s="23"/>
      <c r="BV18" s="16"/>
      <c r="BW18" s="23"/>
      <c r="BX18" s="16"/>
      <c r="BY18" s="23"/>
      <c r="BZ18" s="23"/>
      <c r="CA18" s="16"/>
      <c r="CB18" s="38"/>
      <c r="CM18" s="2"/>
      <c r="DD18" s="6"/>
      <c r="DE18" s="2"/>
      <c r="DG18" s="8"/>
      <c r="DI18" s="8"/>
      <c r="DJ18" s="8"/>
      <c r="DK18" s="8"/>
      <c r="DL18" s="8"/>
      <c r="DM18" s="8"/>
      <c r="DN18" s="14"/>
      <c r="DO18" s="42"/>
      <c r="DP18" s="42"/>
      <c r="DQ18" s="42"/>
      <c r="DR18" s="42"/>
      <c r="DS18" s="42"/>
      <c r="DT18" s="42"/>
      <c r="DU18" s="42"/>
      <c r="DV18" s="14"/>
      <c r="DW18" s="14"/>
      <c r="DX18" s="14"/>
    </row>
    <row r="19" spans="1:128" x14ac:dyDescent="0.25">
      <c r="B19" s="209">
        <v>24.29</v>
      </c>
      <c r="C19" s="69">
        <f>B19/AVERAGE(M8)</f>
        <v>0.73030667468430543</v>
      </c>
      <c r="D19" s="191">
        <v>23.71</v>
      </c>
      <c r="E19" s="69">
        <f>D19/AVERAGE(M8)</f>
        <v>0.71286831028262188</v>
      </c>
      <c r="F19" s="191">
        <v>23.58</v>
      </c>
      <c r="G19" s="69">
        <f>F19/AVERAGE(M8)</f>
        <v>0.70895971136500302</v>
      </c>
      <c r="H19" s="211"/>
      <c r="I19" s="214">
        <f>AVERAGE(B19,D19,F19)</f>
        <v>23.86</v>
      </c>
      <c r="J19" s="69">
        <f>STDEV(B19,D19,F19)/I19</f>
        <v>1.5843301065746686E-2</v>
      </c>
      <c r="K19" s="11"/>
      <c r="L19" s="58"/>
      <c r="O19" s="38"/>
      <c r="P19" s="38"/>
      <c r="Q19" s="38"/>
      <c r="R19" s="16"/>
      <c r="S19" s="209">
        <v>34.74</v>
      </c>
      <c r="T19" s="69">
        <f>S19/AVERAGE(M8)</f>
        <v>1.0444978953698136</v>
      </c>
      <c r="U19" s="191">
        <v>34.03</v>
      </c>
      <c r="V19" s="69">
        <f>U19/AVERAGE(M8)</f>
        <v>1.0231509320505112</v>
      </c>
      <c r="W19" s="191">
        <v>35</v>
      </c>
      <c r="X19" s="69">
        <f>W19/AVERAGE(M8)</f>
        <v>1.0523150932050511</v>
      </c>
      <c r="Y19" s="191">
        <v>33.5</v>
      </c>
      <c r="Z19" s="69">
        <f>Y19/AVERAGE(M8)</f>
        <v>1.0072158749248348</v>
      </c>
      <c r="AA19" s="191">
        <v>35.619999999999997</v>
      </c>
      <c r="AB19" s="69">
        <f>AA19/AVERAGE(M8)</f>
        <v>1.0709561034275406</v>
      </c>
      <c r="AC19" s="22"/>
      <c r="AD19" s="23"/>
      <c r="AE19" s="20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227"/>
      <c r="AQ19" s="73"/>
      <c r="AR19" s="22"/>
      <c r="AS19" s="73"/>
      <c r="AT19" s="22"/>
      <c r="AU19" s="73"/>
      <c r="AV19" s="38"/>
      <c r="AW19" s="16"/>
      <c r="AX19" s="38"/>
      <c r="AY19" s="20"/>
      <c r="AZ19" s="43"/>
      <c r="BA19" s="38"/>
      <c r="BB19" s="16"/>
      <c r="BC19" s="38"/>
      <c r="BD19" s="16"/>
      <c r="BE19" s="38"/>
      <c r="BF19" s="38"/>
      <c r="BG19" s="16"/>
      <c r="BH19" s="38"/>
      <c r="BI19" s="16"/>
      <c r="BJ19" s="43"/>
      <c r="BK19" s="23"/>
      <c r="BL19" s="16"/>
      <c r="BM19" s="23"/>
      <c r="BN19" s="16"/>
      <c r="BO19" s="23"/>
      <c r="BP19" s="38"/>
      <c r="BQ19" s="16"/>
      <c r="BR19" s="38"/>
      <c r="BS19" s="20"/>
      <c r="BT19" s="43"/>
      <c r="BU19" s="23"/>
      <c r="BV19" s="16"/>
      <c r="BW19" s="23"/>
      <c r="BX19" s="16"/>
      <c r="BY19" s="23"/>
      <c r="BZ19" s="38"/>
      <c r="CA19" s="16"/>
      <c r="CB19" s="38"/>
      <c r="DB19" s="10"/>
      <c r="DC19" s="10"/>
      <c r="DD19" s="10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</row>
    <row r="20" spans="1:128" x14ac:dyDescent="0.25">
      <c r="A20" t="s">
        <v>0</v>
      </c>
      <c r="B20" s="209">
        <v>23.45</v>
      </c>
      <c r="C20" s="69">
        <f>B20/AVERAGE(M9)</f>
        <v>1.5458141067897164</v>
      </c>
      <c r="D20" s="191">
        <v>25.59</v>
      </c>
      <c r="E20" s="69">
        <f>D20/AVERAGE(M9)</f>
        <v>1.6868820039551746</v>
      </c>
      <c r="F20" s="191">
        <v>25.16</v>
      </c>
      <c r="G20" s="69">
        <f>F20/AVERAGE(M9)</f>
        <v>1.6585365853658536</v>
      </c>
      <c r="H20" s="211"/>
      <c r="I20" s="214">
        <f>AVERAGE(B20,D20,F20)</f>
        <v>24.733333333333334</v>
      </c>
      <c r="J20" s="69">
        <f>STDEV(B20,D20,F20)/I20</f>
        <v>4.5768360747555893E-2</v>
      </c>
      <c r="L20" s="58"/>
      <c r="O20" s="38"/>
      <c r="P20" s="38"/>
      <c r="Q20" s="38"/>
      <c r="R20" s="16"/>
      <c r="S20" s="209"/>
      <c r="T20" s="191"/>
      <c r="U20" s="191"/>
      <c r="V20" s="191"/>
      <c r="W20" s="191"/>
      <c r="X20" s="191"/>
      <c r="Y20" s="191"/>
      <c r="Z20" s="191"/>
      <c r="AA20" s="191"/>
      <c r="AB20" s="191"/>
      <c r="AC20" s="22"/>
      <c r="AD20" s="45"/>
      <c r="AE20" s="43"/>
      <c r="AF20" s="209">
        <v>11.62</v>
      </c>
      <c r="AG20" s="191">
        <f>AF20/0.5*10</f>
        <v>232.39999999999998</v>
      </c>
      <c r="AH20" s="191">
        <v>52.9</v>
      </c>
      <c r="AI20" s="191">
        <f>AH20/0.5*10</f>
        <v>1058</v>
      </c>
      <c r="AJ20" s="191">
        <v>48.09</v>
      </c>
      <c r="AK20" s="191">
        <f>AJ20/0.5*20</f>
        <v>1923.6000000000001</v>
      </c>
      <c r="AL20" s="191">
        <v>64.5</v>
      </c>
      <c r="AM20" s="191">
        <f>AL20/0.5*20</f>
        <v>2580</v>
      </c>
      <c r="AN20" s="191">
        <v>13.71</v>
      </c>
      <c r="AO20" s="191">
        <f>AN20/0.5*100</f>
        <v>2742</v>
      </c>
      <c r="AP20" s="225"/>
      <c r="AQ20" s="225"/>
      <c r="AR20" s="225"/>
      <c r="AS20" s="225"/>
      <c r="AT20" s="225"/>
      <c r="AU20" s="225"/>
      <c r="AV20" s="45"/>
      <c r="AW20" s="16"/>
      <c r="AX20" s="45"/>
      <c r="AY20" s="19"/>
      <c r="AZ20" s="43"/>
      <c r="BA20" s="16"/>
      <c r="BB20" s="16"/>
      <c r="BC20" s="16"/>
      <c r="BD20" s="16"/>
      <c r="BE20" s="16"/>
      <c r="BF20" s="38"/>
      <c r="BG20" s="16"/>
      <c r="BH20" s="38"/>
      <c r="BI20" s="16"/>
      <c r="BJ20" s="43"/>
      <c r="BK20" s="16"/>
      <c r="BL20" s="16"/>
      <c r="BM20" s="16"/>
      <c r="BN20" s="16"/>
      <c r="BO20" s="16"/>
      <c r="BP20" s="38"/>
      <c r="BQ20" s="16"/>
      <c r="BR20" s="38"/>
      <c r="BS20" s="20"/>
      <c r="BT20" s="43"/>
      <c r="BU20" s="16"/>
      <c r="BV20" s="16"/>
      <c r="BW20" s="16"/>
      <c r="BX20" s="16"/>
      <c r="BY20" s="16"/>
      <c r="BZ20" s="38"/>
      <c r="CA20" s="16"/>
      <c r="CB20" s="38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</row>
    <row r="21" spans="1:128" x14ac:dyDescent="0.25">
      <c r="B21" s="209">
        <v>55.75</v>
      </c>
      <c r="C21" s="69">
        <f>B21/AVERAGE(M10)</f>
        <v>1.7345986309894212</v>
      </c>
      <c r="D21" s="191">
        <v>48.96</v>
      </c>
      <c r="E21" s="69">
        <f>D21/AVERAGE(M10)</f>
        <v>1.523335407591786</v>
      </c>
      <c r="F21" s="191">
        <v>44.89</v>
      </c>
      <c r="G21" s="69">
        <f>F21/AVERAGE(M10)</f>
        <v>1.3967019290603608</v>
      </c>
      <c r="H21" s="211"/>
      <c r="I21" s="214">
        <f>AVERAGE(B21,D21,F21)</f>
        <v>49.866666666666674</v>
      </c>
      <c r="J21" s="69">
        <f>STDEV(B21,D21,F21)/I21</f>
        <v>0.11002294081855281</v>
      </c>
      <c r="L21" s="58"/>
      <c r="O21" s="38"/>
      <c r="P21" s="38"/>
      <c r="Q21" s="38"/>
      <c r="R21" s="16"/>
      <c r="S21" s="209"/>
      <c r="T21" s="191"/>
      <c r="U21" s="191"/>
      <c r="V21" s="191"/>
      <c r="W21" s="191"/>
      <c r="X21" s="191"/>
      <c r="Y21" s="191"/>
      <c r="Z21" s="191"/>
      <c r="AA21" s="191"/>
      <c r="AB21" s="191"/>
      <c r="AC21" s="22"/>
      <c r="AD21" s="45"/>
      <c r="AE21" s="43"/>
      <c r="AF21" s="209">
        <v>9.17</v>
      </c>
      <c r="AG21" s="191">
        <f>AF21/0.5*10</f>
        <v>183.4</v>
      </c>
      <c r="AH21" s="191">
        <v>50.18</v>
      </c>
      <c r="AI21" s="191">
        <f>AH21/0.5*10</f>
        <v>1003.6</v>
      </c>
      <c r="AJ21" s="191">
        <v>68.69</v>
      </c>
      <c r="AK21" s="191">
        <f>AJ21/0.5*20</f>
        <v>2747.6</v>
      </c>
      <c r="AL21" s="191">
        <v>93</v>
      </c>
      <c r="AM21" s="191">
        <f>AL21/0.5*20</f>
        <v>3720</v>
      </c>
      <c r="AN21" s="191">
        <v>19.010000000000002</v>
      </c>
      <c r="AO21" s="191">
        <f>AN21/0.5*100</f>
        <v>3802.0000000000005</v>
      </c>
      <c r="AP21" s="225"/>
      <c r="AQ21" s="225"/>
      <c r="AR21" s="225"/>
      <c r="AS21" s="225"/>
      <c r="AT21" s="225"/>
      <c r="AU21" s="225"/>
      <c r="AV21" s="45"/>
      <c r="AW21" s="16"/>
      <c r="AX21" s="45"/>
      <c r="AY21" s="19"/>
      <c r="AZ21" s="43"/>
      <c r="BA21" s="16"/>
      <c r="BB21" s="16"/>
      <c r="BC21" s="16"/>
      <c r="BD21" s="16"/>
      <c r="BE21" s="16"/>
      <c r="BF21" s="38"/>
      <c r="BG21" s="16"/>
      <c r="BH21" s="38"/>
      <c r="BI21" s="16"/>
      <c r="BJ21" s="43"/>
      <c r="BK21" s="16"/>
      <c r="BL21" s="16"/>
      <c r="BM21" s="16"/>
      <c r="BN21" s="16"/>
      <c r="BO21" s="16"/>
      <c r="BP21" s="38"/>
      <c r="BQ21" s="16"/>
      <c r="BR21" s="38"/>
      <c r="BS21" s="20"/>
      <c r="BT21" s="43"/>
      <c r="BU21" s="16"/>
      <c r="BV21" s="16"/>
      <c r="BW21" s="16"/>
      <c r="BX21" s="16"/>
      <c r="BY21" s="16"/>
      <c r="BZ21" s="38"/>
      <c r="CA21" s="16"/>
      <c r="CB21" s="38"/>
      <c r="DB21" s="2"/>
      <c r="DC21" s="2"/>
      <c r="DD21" s="2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</row>
    <row r="22" spans="1:128" x14ac:dyDescent="0.25">
      <c r="A22" t="s">
        <v>20</v>
      </c>
      <c r="B22" s="212">
        <f>B20+B21</f>
        <v>79.2</v>
      </c>
      <c r="C22" s="69">
        <f>B22/AVERAGE(M11)</f>
        <v>1.6740646797717185</v>
      </c>
      <c r="D22" s="212">
        <f>D20+D21</f>
        <v>74.55</v>
      </c>
      <c r="E22" s="69">
        <f>D22/AVERAGE(M11)</f>
        <v>1.5757767913760303</v>
      </c>
      <c r="F22" s="212">
        <f>F20+F21</f>
        <v>70.05</v>
      </c>
      <c r="G22" s="69">
        <f>F22/AVERAGE(M11)</f>
        <v>1.4806594800253645</v>
      </c>
      <c r="H22" s="211"/>
      <c r="I22" s="214">
        <f>AVERAGE(B22,D22,F22)</f>
        <v>74.600000000000009</v>
      </c>
      <c r="J22" s="69">
        <f>STDEV(B22,D22,F22)/I22</f>
        <v>6.1329824576994249E-2</v>
      </c>
      <c r="L22" s="58"/>
      <c r="O22" s="38"/>
      <c r="P22" s="38"/>
      <c r="Q22" s="38"/>
      <c r="R22" s="16"/>
      <c r="S22" s="212"/>
      <c r="T22" s="191"/>
      <c r="U22" s="212"/>
      <c r="V22" s="191"/>
      <c r="W22" s="191"/>
      <c r="X22" s="191"/>
      <c r="Y22" s="191"/>
      <c r="Z22" s="191"/>
      <c r="AA22" s="191"/>
      <c r="AB22" s="191"/>
      <c r="AC22" s="22"/>
      <c r="AD22" s="45"/>
      <c r="AE22" s="43"/>
      <c r="AF22" s="212">
        <f>SUM(AF20,AF21)</f>
        <v>20.79</v>
      </c>
      <c r="AG22" s="191">
        <f>AF22/0.5*10</f>
        <v>415.79999999999995</v>
      </c>
      <c r="AH22" s="212">
        <f>SUM(AH20,AH21)</f>
        <v>103.08</v>
      </c>
      <c r="AI22" s="191">
        <f>AH22/0.5*10</f>
        <v>2061.6</v>
      </c>
      <c r="AJ22" s="212">
        <f>SUM(AJ20,AJ21)</f>
        <v>116.78</v>
      </c>
      <c r="AK22" s="191">
        <f>AJ22/0.5*20</f>
        <v>4671.2</v>
      </c>
      <c r="AL22" s="212">
        <f>SUM(AL20,AL21)</f>
        <v>157.5</v>
      </c>
      <c r="AM22" s="191">
        <f>AL22/0.5*20</f>
        <v>6300</v>
      </c>
      <c r="AN22" s="212">
        <f>SUM(AN20,AN21)</f>
        <v>32.72</v>
      </c>
      <c r="AO22" s="191">
        <f>AN22/0.5*100</f>
        <v>6544</v>
      </c>
      <c r="AP22" s="21" t="s">
        <v>78</v>
      </c>
      <c r="AQ22" s="225"/>
      <c r="AR22" s="225"/>
      <c r="AS22" s="225"/>
      <c r="AT22" s="225"/>
      <c r="AU22" s="225"/>
      <c r="AV22" s="45"/>
      <c r="AW22" s="16"/>
      <c r="AX22" s="45"/>
      <c r="AY22" s="19"/>
      <c r="AZ22" s="19"/>
      <c r="BA22" s="16"/>
      <c r="BB22" s="19"/>
      <c r="BC22" s="16"/>
      <c r="BD22" s="19"/>
      <c r="BE22" s="16"/>
      <c r="BF22" s="38"/>
      <c r="BG22" s="16"/>
      <c r="BH22" s="38"/>
      <c r="BI22" s="19"/>
      <c r="BJ22" s="19"/>
      <c r="BK22" s="16"/>
      <c r="BL22" s="19"/>
      <c r="BM22" s="16"/>
      <c r="BN22" s="19"/>
      <c r="BO22" s="16"/>
      <c r="BP22" s="38"/>
      <c r="BQ22" s="16"/>
      <c r="BR22" s="38"/>
      <c r="BS22" s="20"/>
      <c r="BT22" s="19"/>
      <c r="BU22" s="16"/>
      <c r="BV22" s="19"/>
      <c r="BW22" s="16"/>
      <c r="BX22" s="19"/>
      <c r="BY22" s="16"/>
      <c r="BZ22" s="38"/>
      <c r="CA22" s="16"/>
      <c r="CB22" s="38"/>
      <c r="DB22" s="2"/>
      <c r="DC22" s="2"/>
      <c r="DD22" s="2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</row>
    <row r="23" spans="1:128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1"/>
      <c r="N23" s="1"/>
      <c r="O23" s="37"/>
      <c r="P23" s="37"/>
      <c r="Q23" s="37"/>
      <c r="R23" s="19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21"/>
      <c r="AD23" s="21"/>
      <c r="AE23" s="20"/>
      <c r="AF23" s="31"/>
      <c r="AG23" s="70">
        <f>AG22/AF24</f>
        <v>0.41579999999999995</v>
      </c>
      <c r="AH23" s="31"/>
      <c r="AI23" s="69">
        <f>AI22/AH24</f>
        <v>0.68719999999999992</v>
      </c>
      <c r="AJ23" s="31"/>
      <c r="AK23" s="69">
        <f>AK22/AJ24</f>
        <v>1.1677999999999999</v>
      </c>
      <c r="AL23" s="31"/>
      <c r="AM23" s="69">
        <f>AM22/AL24</f>
        <v>1.05</v>
      </c>
      <c r="AN23" s="31"/>
      <c r="AO23" s="69">
        <f>AO22/AN24</f>
        <v>0.81799999999999995</v>
      </c>
      <c r="AP23" s="69">
        <f>AVERAGE(AG23,AI23,AK23,AM23,AO23)</f>
        <v>0.82775999999999983</v>
      </c>
      <c r="AQ23" s="73"/>
      <c r="AR23" s="21"/>
      <c r="AS23" s="21"/>
      <c r="AT23" s="21"/>
      <c r="AU23" s="21"/>
      <c r="AV23" s="21"/>
      <c r="AW23" s="21"/>
      <c r="AX23" s="21"/>
      <c r="AY23" s="20"/>
      <c r="AZ23" s="66"/>
      <c r="BA23" s="66"/>
      <c r="BB23" s="66"/>
      <c r="BC23" s="66"/>
      <c r="BD23" s="66"/>
      <c r="BE23" s="66"/>
      <c r="BF23" s="21"/>
      <c r="BG23" s="66"/>
      <c r="BH23" s="66"/>
      <c r="BI23" s="21"/>
      <c r="BJ23" s="66"/>
      <c r="BK23" s="66"/>
      <c r="BL23" s="66"/>
      <c r="BM23" s="66"/>
      <c r="BN23" s="66"/>
      <c r="BO23" s="66"/>
      <c r="BP23" s="21"/>
      <c r="BQ23" s="66"/>
      <c r="BR23" s="66"/>
      <c r="BS23" s="16"/>
      <c r="BT23" s="66"/>
      <c r="BU23" s="66"/>
      <c r="BV23" s="66"/>
      <c r="BW23" s="66"/>
      <c r="BX23" s="66"/>
      <c r="BY23" s="66"/>
      <c r="BZ23" s="21"/>
      <c r="CA23" s="66"/>
      <c r="CB23" s="66"/>
    </row>
    <row r="24" spans="1:128" x14ac:dyDescent="0.25">
      <c r="B24" s="32">
        <v>80</v>
      </c>
      <c r="C24" s="32"/>
      <c r="D24" s="32">
        <v>80</v>
      </c>
      <c r="E24" s="32"/>
      <c r="F24" s="32">
        <v>80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1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22"/>
      <c r="AD24" s="22"/>
      <c r="AE24" s="44"/>
      <c r="AF24" s="32">
        <v>1000</v>
      </c>
      <c r="AG24" s="32"/>
      <c r="AH24" s="32">
        <v>3000</v>
      </c>
      <c r="AI24" s="32"/>
      <c r="AJ24" s="32">
        <v>4000</v>
      </c>
      <c r="AK24" s="32"/>
      <c r="AL24" s="32">
        <v>6000</v>
      </c>
      <c r="AM24" s="32"/>
      <c r="AN24" s="32">
        <v>8000</v>
      </c>
      <c r="AO24" s="32"/>
      <c r="AP24" s="22"/>
      <c r="AQ24" s="22"/>
      <c r="AR24" s="22"/>
      <c r="AS24" s="22"/>
      <c r="AT24" s="22"/>
      <c r="AU24" s="22"/>
      <c r="AV24" s="22"/>
      <c r="AW24" s="22"/>
      <c r="AX24" s="22"/>
      <c r="AY24" s="44"/>
      <c r="AZ24" s="67"/>
      <c r="BA24" s="67"/>
      <c r="BB24" s="67"/>
      <c r="BC24" s="67"/>
      <c r="BD24" s="67"/>
      <c r="BE24" s="67"/>
      <c r="BF24" s="22"/>
      <c r="BG24" s="67"/>
      <c r="BH24" s="67"/>
      <c r="BI24" s="22"/>
      <c r="BJ24" s="67"/>
      <c r="BK24" s="67"/>
      <c r="BL24" s="67"/>
      <c r="BM24" s="67"/>
      <c r="BN24" s="67"/>
      <c r="BO24" s="67"/>
      <c r="BP24" s="22"/>
      <c r="BQ24" s="67"/>
      <c r="BR24" s="67"/>
      <c r="BS24" s="19"/>
      <c r="BT24" s="67"/>
      <c r="BU24" s="67"/>
      <c r="BV24" s="67"/>
      <c r="BW24" s="67"/>
      <c r="BX24" s="67"/>
      <c r="BY24" s="67"/>
      <c r="BZ24" s="22"/>
      <c r="CA24" s="67"/>
      <c r="CB24" s="67"/>
    </row>
    <row r="25" spans="1:128" x14ac:dyDescent="0.25">
      <c r="A25" t="s">
        <v>2</v>
      </c>
      <c r="B25" s="69">
        <f>ABS(B22-B24)/B24</f>
        <v>9.9999999999999638E-3</v>
      </c>
      <c r="C25" s="210"/>
      <c r="D25" s="69">
        <f>ABS(D22-D24)/D24</f>
        <v>6.8125000000000033E-2</v>
      </c>
      <c r="E25" s="211"/>
      <c r="F25" s="69">
        <f>ABS(F22-F24)/F24</f>
        <v>0.12437500000000004</v>
      </c>
      <c r="G25" s="211"/>
      <c r="H25" s="211"/>
      <c r="I25" s="211"/>
      <c r="J25" s="211"/>
      <c r="L25" s="23"/>
      <c r="M25" s="38"/>
      <c r="N25" s="38"/>
      <c r="O25" s="19"/>
      <c r="P25" s="19"/>
      <c r="Q25" s="19"/>
      <c r="R25" s="19"/>
      <c r="S25" s="225"/>
      <c r="T25" s="224"/>
      <c r="U25" s="225"/>
      <c r="V25" s="73"/>
      <c r="W25" s="225"/>
      <c r="X25" s="73"/>
      <c r="Y25" s="73"/>
      <c r="Z25" s="73"/>
      <c r="AA25" s="73"/>
      <c r="AB25" s="73"/>
      <c r="AC25" s="73"/>
      <c r="AD25" s="38"/>
      <c r="AE25" s="16"/>
      <c r="AF25" s="99">
        <f>ABS(AG22-AF24)/AF24</f>
        <v>0.58420000000000005</v>
      </c>
      <c r="AG25" s="224"/>
      <c r="AH25" s="99">
        <f>ABS(AI22-AH24)/AH24</f>
        <v>0.31280000000000002</v>
      </c>
      <c r="AI25" s="73"/>
      <c r="AJ25" s="69">
        <f>ABS(AK22-AJ24)/AJ24</f>
        <v>0.16779999999999995</v>
      </c>
      <c r="AK25" s="73"/>
      <c r="AL25" s="69">
        <f>ABS(AM22-AL24)/AL24</f>
        <v>0.05</v>
      </c>
      <c r="AM25" s="73"/>
      <c r="AN25" s="69">
        <f>ABS(AO22-AN24)/AN24</f>
        <v>0.182</v>
      </c>
      <c r="AO25" s="22"/>
      <c r="AP25" s="235"/>
      <c r="AQ25" s="235"/>
      <c r="AR25" s="235"/>
      <c r="AS25" s="235"/>
      <c r="AT25" s="223"/>
      <c r="AU25" s="73"/>
      <c r="AV25" s="38"/>
      <c r="AW25" s="38"/>
      <c r="AX25" s="38"/>
      <c r="AY25" s="16"/>
      <c r="AZ25" s="38"/>
      <c r="BA25" s="23"/>
      <c r="BB25" s="23"/>
      <c r="BC25" s="38"/>
      <c r="BD25" s="23"/>
      <c r="BE25" s="38"/>
      <c r="BF25" s="38"/>
      <c r="BG25" s="38"/>
      <c r="BH25" s="38"/>
      <c r="BI25" s="20"/>
      <c r="BJ25" s="23"/>
      <c r="BK25" s="23"/>
      <c r="BL25" s="23"/>
      <c r="BM25" s="38"/>
      <c r="BN25" s="23"/>
      <c r="BO25" s="38"/>
      <c r="BP25" s="38"/>
      <c r="BQ25" s="38"/>
      <c r="BR25" s="38"/>
      <c r="BS25" s="16"/>
      <c r="BT25" s="38"/>
      <c r="BU25" s="23"/>
      <c r="BV25" s="38"/>
      <c r="BW25" s="38"/>
      <c r="BX25" s="23"/>
      <c r="BY25" s="38"/>
      <c r="BZ25" s="38"/>
      <c r="CA25" s="38"/>
      <c r="CB25" s="38"/>
    </row>
    <row r="26" spans="1:128" x14ac:dyDescent="0.25">
      <c r="A26" t="s">
        <v>4</v>
      </c>
      <c r="B26" s="215"/>
      <c r="C26" s="215"/>
      <c r="D26" s="215"/>
      <c r="E26" s="215"/>
      <c r="F26" s="215"/>
      <c r="G26" s="215"/>
      <c r="H26" s="215"/>
      <c r="I26" s="215"/>
      <c r="J26" s="215"/>
      <c r="P26" s="35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75"/>
      <c r="AU26" s="175"/>
      <c r="AV26" s="35"/>
      <c r="AW26" s="35"/>
      <c r="AX26" s="35"/>
      <c r="AY26" s="35"/>
    </row>
    <row r="27" spans="1:128" x14ac:dyDescent="0.25"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128" x14ac:dyDescent="0.25">
      <c r="A28" t="s">
        <v>26</v>
      </c>
    </row>
    <row r="29" spans="1:128" x14ac:dyDescent="0.25">
      <c r="A29" t="s">
        <v>3</v>
      </c>
    </row>
    <row r="30" spans="1:128" x14ac:dyDescent="0.25">
      <c r="A30" t="str">
        <f>"-OR-"</f>
        <v>-OR-</v>
      </c>
    </row>
    <row r="31" spans="1:128" x14ac:dyDescent="0.25">
      <c r="A31" t="s">
        <v>24</v>
      </c>
    </row>
    <row r="32" spans="1:128" x14ac:dyDescent="0.25">
      <c r="A32" t="s">
        <v>25</v>
      </c>
    </row>
    <row r="34" spans="1:19" x14ac:dyDescent="0.25">
      <c r="A34" t="s">
        <v>23</v>
      </c>
    </row>
    <row r="35" spans="1:19" x14ac:dyDescent="0.25">
      <c r="A35" t="s">
        <v>18</v>
      </c>
    </row>
    <row r="37" spans="1:19" x14ac:dyDescent="0.25">
      <c r="A37" t="s">
        <v>19</v>
      </c>
    </row>
    <row r="38" spans="1:19" x14ac:dyDescent="0.25">
      <c r="A38" t="s">
        <v>3</v>
      </c>
    </row>
    <row r="40" spans="1:19" x14ac:dyDescent="0.25">
      <c r="A40" t="s">
        <v>14</v>
      </c>
    </row>
    <row r="41" spans="1:19" x14ac:dyDescent="0.25">
      <c r="A41" t="s">
        <v>4</v>
      </c>
    </row>
    <row r="43" spans="1:19" x14ac:dyDescent="0.25">
      <c r="A43" t="s">
        <v>27</v>
      </c>
    </row>
    <row r="44" spans="1:19" x14ac:dyDescent="0.25">
      <c r="A44" t="s">
        <v>28</v>
      </c>
    </row>
    <row r="45" spans="1:19" x14ac:dyDescent="0.25">
      <c r="A45" t="s">
        <v>29</v>
      </c>
    </row>
    <row r="46" spans="1:19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pageMargins left="0.7" right="0.7" top="0.75" bottom="0.75" header="0.3" footer="0.3"/>
  <pageSetup orientation="portrait" r:id="rId1"/>
  <ignoredErrors>
    <ignoredError sqref="AG22:AI22 AK22:AL22 E11 C22 E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AB19"/>
  <sheetViews>
    <sheetView zoomScaleNormal="100" workbookViewId="0">
      <selection activeCell="I4" sqref="I4"/>
    </sheetView>
  </sheetViews>
  <sheetFormatPr defaultRowHeight="15" x14ac:dyDescent="0.25"/>
  <cols>
    <col min="1" max="1" width="15.28515625" customWidth="1"/>
    <col min="4" max="4" width="10.28515625" customWidth="1"/>
    <col min="10" max="10" width="12.5703125" customWidth="1"/>
    <col min="11" max="11" width="9.28515625" customWidth="1"/>
  </cols>
  <sheetData>
    <row r="1" spans="1:28" ht="47.25" customHeight="1" x14ac:dyDescent="0.25">
      <c r="A1" s="79" t="s">
        <v>92</v>
      </c>
      <c r="B1" s="82"/>
      <c r="C1" s="76"/>
      <c r="D1" s="76"/>
      <c r="E1" s="76"/>
      <c r="F1" s="76"/>
      <c r="G1" s="76"/>
      <c r="H1" s="76"/>
      <c r="I1" s="76"/>
      <c r="J1" s="80" t="s">
        <v>88</v>
      </c>
      <c r="K1" s="81"/>
      <c r="L1" s="76"/>
      <c r="M1" s="76"/>
      <c r="N1" s="76"/>
      <c r="O1" s="35"/>
    </row>
    <row r="2" spans="1:28" ht="26.25" customHeight="1" x14ac:dyDescent="0.25">
      <c r="A2" s="75" t="s">
        <v>91</v>
      </c>
      <c r="B2" s="77" t="s">
        <v>34</v>
      </c>
      <c r="C2" s="77" t="s">
        <v>35</v>
      </c>
      <c r="D2" s="77" t="s">
        <v>83</v>
      </c>
      <c r="E2" s="77" t="s">
        <v>42</v>
      </c>
      <c r="F2" s="77" t="s">
        <v>43</v>
      </c>
      <c r="G2" s="77" t="s">
        <v>44</v>
      </c>
      <c r="H2" s="77" t="s">
        <v>87</v>
      </c>
      <c r="I2" s="77" t="s">
        <v>41</v>
      </c>
      <c r="J2" s="78" t="s">
        <v>36</v>
      </c>
      <c r="K2" s="78" t="s">
        <v>37</v>
      </c>
      <c r="L2" s="78" t="s">
        <v>84</v>
      </c>
      <c r="M2" s="78" t="s">
        <v>85</v>
      </c>
      <c r="N2" s="78" t="s">
        <v>86</v>
      </c>
      <c r="O2" s="78" t="s">
        <v>38</v>
      </c>
      <c r="P2" s="78" t="s">
        <v>39</v>
      </c>
      <c r="Q2" s="78" t="s">
        <v>93</v>
      </c>
      <c r="R2" s="78" t="s">
        <v>94</v>
      </c>
      <c r="S2" s="78" t="s">
        <v>40</v>
      </c>
      <c r="T2" s="85"/>
    </row>
    <row r="3" spans="1:28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8" ht="30.75" customHeight="1" x14ac:dyDescent="0.25">
      <c r="A4" s="75" t="s">
        <v>9</v>
      </c>
      <c r="B4" s="89">
        <v>0.97</v>
      </c>
      <c r="C4" s="90">
        <v>0.96</v>
      </c>
      <c r="D4" s="90">
        <v>0.97</v>
      </c>
      <c r="E4" s="92">
        <v>0.89</v>
      </c>
      <c r="F4" s="92">
        <v>0.87</v>
      </c>
      <c r="G4" s="92">
        <v>0.88</v>
      </c>
      <c r="H4" s="92">
        <v>0.97</v>
      </c>
      <c r="I4" s="92">
        <v>0.87</v>
      </c>
      <c r="J4" s="93">
        <v>0.95</v>
      </c>
      <c r="K4" s="93">
        <v>1.01</v>
      </c>
      <c r="L4" s="93">
        <v>0.97</v>
      </c>
      <c r="M4" s="93">
        <v>0.99</v>
      </c>
      <c r="N4" s="93">
        <v>0.91</v>
      </c>
      <c r="O4" s="93">
        <v>0.65</v>
      </c>
      <c r="P4" s="93">
        <v>0.94</v>
      </c>
      <c r="Q4" s="93">
        <v>1.63</v>
      </c>
      <c r="R4" s="93">
        <v>0.86</v>
      </c>
      <c r="S4" s="93">
        <v>0.38</v>
      </c>
      <c r="T4" s="87"/>
    </row>
    <row r="5" spans="1:28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8" ht="25.5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 t="s">
        <v>82</v>
      </c>
      <c r="K6" s="83" t="s">
        <v>82</v>
      </c>
      <c r="L6" s="83" t="s">
        <v>82</v>
      </c>
      <c r="M6" s="83" t="s">
        <v>82</v>
      </c>
      <c r="N6" s="83" t="s">
        <v>82</v>
      </c>
      <c r="O6" s="83" t="s">
        <v>82</v>
      </c>
      <c r="P6" s="83" t="s">
        <v>82</v>
      </c>
      <c r="Q6" s="83" t="s">
        <v>82</v>
      </c>
      <c r="R6" s="83" t="s">
        <v>82</v>
      </c>
      <c r="S6" s="83" t="s">
        <v>82</v>
      </c>
      <c r="T6" s="86"/>
    </row>
    <row r="7" spans="1:28" x14ac:dyDescent="0.25">
      <c r="A7" s="75" t="s">
        <v>90</v>
      </c>
      <c r="B7" s="75"/>
      <c r="C7" s="75"/>
      <c r="D7" s="75"/>
      <c r="E7" s="75"/>
      <c r="F7" s="75"/>
      <c r="G7" s="75"/>
      <c r="H7" s="75"/>
      <c r="I7" s="75"/>
      <c r="J7" s="84">
        <v>0.96</v>
      </c>
      <c r="K7" s="84">
        <v>0.9</v>
      </c>
      <c r="L7" s="84">
        <v>1.02</v>
      </c>
      <c r="M7" s="84">
        <v>0.91</v>
      </c>
      <c r="N7" s="88">
        <v>0.41</v>
      </c>
      <c r="O7" s="84">
        <v>0.36</v>
      </c>
      <c r="P7" s="84">
        <v>0.4</v>
      </c>
      <c r="Q7" s="84">
        <v>0.56000000000000005</v>
      </c>
      <c r="R7" s="84">
        <v>0.6</v>
      </c>
      <c r="S7" s="88">
        <v>0.3</v>
      </c>
      <c r="T7" s="16"/>
    </row>
    <row r="8" spans="1:28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8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8" ht="60" x14ac:dyDescent="0.25">
      <c r="A10" s="95" t="s">
        <v>96</v>
      </c>
      <c r="B10" s="75" t="s">
        <v>127</v>
      </c>
      <c r="C10" s="76"/>
      <c r="D10" s="76"/>
      <c r="E10" s="76"/>
      <c r="F10" s="74"/>
      <c r="G10" s="74"/>
      <c r="H10" s="74"/>
      <c r="I10" s="74"/>
      <c r="J10" s="75" t="s">
        <v>134</v>
      </c>
      <c r="K10" s="12">
        <v>663</v>
      </c>
      <c r="L10" s="12">
        <v>1951.3000000000002</v>
      </c>
      <c r="M10" s="12">
        <v>3149.3999999999996</v>
      </c>
      <c r="N10" s="12">
        <v>4528.4000000000005</v>
      </c>
      <c r="O10" s="12">
        <v>5084</v>
      </c>
    </row>
    <row r="11" spans="1:28" x14ac:dyDescent="0.25">
      <c r="J11" s="81"/>
      <c r="K11" s="75">
        <v>1000</v>
      </c>
      <c r="L11" s="75">
        <v>3000</v>
      </c>
      <c r="M11" s="75">
        <v>4000</v>
      </c>
      <c r="N11" s="75">
        <v>6000</v>
      </c>
      <c r="O11" s="96">
        <v>8000</v>
      </c>
    </row>
    <row r="12" spans="1:28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</row>
    <row r="13" spans="1:28" ht="60" x14ac:dyDescent="0.25">
      <c r="A13" s="95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AB13" s="250"/>
    </row>
    <row r="19" spans="17:17" x14ac:dyDescent="0.25">
      <c r="Q19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GV47"/>
  <sheetViews>
    <sheetView zoomScale="90" zoomScaleNormal="90" zoomScaleSheetLayoutView="40" workbookViewId="0">
      <pane xSplit="1" topLeftCell="AK1" activePane="topRight" state="frozen"/>
      <selection pane="topRight" activeCell="O25" sqref="O25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8" width="10.7109375" customWidth="1"/>
    <col min="19" max="19" width="11.7109375" customWidth="1"/>
    <col min="21" max="21" width="11.5703125" customWidth="1"/>
    <col min="23" max="23" width="13.5703125" customWidth="1"/>
    <col min="25" max="25" width="9.42578125" customWidth="1"/>
    <col min="26" max="26" width="9.85546875" customWidth="1"/>
    <col min="27" max="27" width="9" customWidth="1"/>
    <col min="28" max="28" width="8.5703125" customWidth="1"/>
    <col min="29" max="30" width="9.5703125" customWidth="1"/>
    <col min="31" max="31" width="10.5703125" customWidth="1"/>
    <col min="32" max="32" width="9.42578125" customWidth="1"/>
    <col min="33" max="33" width="10.7109375" customWidth="1"/>
    <col min="34" max="34" width="10.5703125" customWidth="1"/>
    <col min="35" max="35" width="13.140625" customWidth="1"/>
    <col min="36" max="36" width="17.85546875" customWidth="1"/>
    <col min="37" max="37" width="12.42578125" customWidth="1"/>
    <col min="38" max="38" width="10.5703125" customWidth="1"/>
    <col min="39" max="39" width="14.28515625" customWidth="1"/>
    <col min="40" max="40" width="10.5703125" customWidth="1"/>
    <col min="41" max="41" width="12.85546875" customWidth="1"/>
    <col min="42" max="44" width="10.5703125" customWidth="1"/>
    <col min="45" max="45" width="12.85546875" customWidth="1"/>
    <col min="46" max="46" width="10.5703125" customWidth="1"/>
    <col min="47" max="47" width="14.5703125" customWidth="1"/>
    <col min="48" max="48" width="10.5703125" customWidth="1"/>
    <col min="49" max="49" width="14.28515625" customWidth="1"/>
    <col min="50" max="54" width="10.5703125" customWidth="1"/>
    <col min="55" max="55" width="13.140625" customWidth="1"/>
    <col min="56" max="56" width="10.5703125" customWidth="1"/>
    <col min="57" max="57" width="14.42578125" customWidth="1"/>
    <col min="58" max="64" width="11.140625" customWidth="1"/>
    <col min="65" max="65" width="12.85546875" customWidth="1"/>
    <col min="66" max="68" width="11.140625" customWidth="1"/>
    <col min="69" max="69" width="11.42578125" customWidth="1"/>
    <col min="70" max="70" width="10.140625" customWidth="1"/>
    <col min="71" max="71" width="11.42578125" customWidth="1"/>
    <col min="72" max="72" width="11.85546875" customWidth="1"/>
    <col min="73" max="73" width="11.28515625" customWidth="1"/>
    <col min="76" max="76" width="9.28515625" customWidth="1"/>
    <col min="77" max="77" width="13.5703125" customWidth="1"/>
    <col min="78" max="78" width="9.28515625" customWidth="1"/>
    <col min="79" max="79" width="13.7109375" customWidth="1"/>
    <col min="80" max="80" width="12.7109375" customWidth="1"/>
    <col min="81" max="81" width="14.42578125" customWidth="1"/>
    <col min="82" max="82" width="12.85546875" customWidth="1"/>
    <col min="84" max="84" width="11.42578125" customWidth="1"/>
    <col min="88" max="88" width="12" customWidth="1"/>
    <col min="90" max="90" width="12" customWidth="1"/>
    <col min="94" max="94" width="12" customWidth="1"/>
    <col min="96" max="96" width="11.85546875" customWidth="1"/>
    <col min="98" max="98" width="11.42578125" customWidth="1"/>
    <col min="100" max="100" width="11.28515625" customWidth="1"/>
    <col min="102" max="102" width="12.7109375" customWidth="1"/>
    <col min="108" max="108" width="8.28515625" customWidth="1"/>
    <col min="110" max="110" width="21.85546875" customWidth="1"/>
    <col min="123" max="123" width="20" customWidth="1"/>
    <col min="162" max="164" width="10.5703125" customWidth="1"/>
  </cols>
  <sheetData>
    <row r="1" spans="1:204" x14ac:dyDescent="0.25">
      <c r="A1" t="s">
        <v>114</v>
      </c>
    </row>
    <row r="2" spans="1:204" ht="15.75" customHeight="1" x14ac:dyDescent="0.25"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DI2" s="9"/>
    </row>
    <row r="3" spans="1:204" ht="17.25" customHeight="1" x14ac:dyDescent="0.25">
      <c r="U3" s="1"/>
      <c r="W3" s="19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9"/>
      <c r="BU3" s="16"/>
      <c r="BV3" s="19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</row>
    <row r="4" spans="1:204" x14ac:dyDescent="0.25">
      <c r="U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9"/>
      <c r="BU4" s="16"/>
      <c r="BV4" s="19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</row>
    <row r="5" spans="1:204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</row>
    <row r="6" spans="1:204" ht="58.5" customHeight="1" x14ac:dyDescent="0.25">
      <c r="A6" t="s">
        <v>15</v>
      </c>
      <c r="B6" s="206" t="s">
        <v>52</v>
      </c>
      <c r="C6" s="97" t="s">
        <v>16</v>
      </c>
      <c r="D6" s="207" t="s">
        <v>51</v>
      </c>
      <c r="E6" s="97" t="s">
        <v>16</v>
      </c>
      <c r="F6" s="207" t="s">
        <v>50</v>
      </c>
      <c r="G6" s="97" t="s">
        <v>16</v>
      </c>
      <c r="H6" s="208"/>
      <c r="I6" s="206" t="s">
        <v>31</v>
      </c>
      <c r="J6" s="206" t="s">
        <v>33</v>
      </c>
      <c r="K6" s="222"/>
      <c r="L6" s="267" t="s">
        <v>108</v>
      </c>
      <c r="M6" s="267" t="s">
        <v>109</v>
      </c>
      <c r="N6" s="267" t="s">
        <v>110</v>
      </c>
      <c r="O6" s="268" t="s">
        <v>31</v>
      </c>
      <c r="P6" s="267" t="s">
        <v>111</v>
      </c>
      <c r="Q6" s="267" t="s">
        <v>112</v>
      </c>
      <c r="R6" s="267" t="s">
        <v>113</v>
      </c>
      <c r="S6" s="268" t="s">
        <v>31</v>
      </c>
      <c r="T6" s="267" t="s">
        <v>30</v>
      </c>
      <c r="U6" s="222"/>
      <c r="V6" s="222"/>
      <c r="W6" s="149"/>
      <c r="X6" s="206" t="s">
        <v>56</v>
      </c>
      <c r="Y6" s="97" t="s">
        <v>16</v>
      </c>
      <c r="Z6" s="207" t="s">
        <v>57</v>
      </c>
      <c r="AA6" s="97" t="s">
        <v>16</v>
      </c>
      <c r="AB6" s="207" t="s">
        <v>58</v>
      </c>
      <c r="AC6" s="97" t="s">
        <v>16</v>
      </c>
      <c r="AD6" s="207" t="s">
        <v>59</v>
      </c>
      <c r="AE6" s="97" t="s">
        <v>16</v>
      </c>
      <c r="AF6" s="207" t="s">
        <v>60</v>
      </c>
      <c r="AG6" s="97" t="s">
        <v>16</v>
      </c>
      <c r="AH6" s="222"/>
      <c r="AI6" s="222"/>
      <c r="AJ6" s="149"/>
      <c r="AK6" s="206" t="s">
        <v>74</v>
      </c>
      <c r="AL6" s="97" t="s">
        <v>16</v>
      </c>
      <c r="AM6" s="207" t="s">
        <v>73</v>
      </c>
      <c r="AN6" s="97" t="s">
        <v>16</v>
      </c>
      <c r="AO6" s="207" t="s">
        <v>72</v>
      </c>
      <c r="AP6" s="97" t="s">
        <v>16</v>
      </c>
      <c r="AQ6" s="207" t="s">
        <v>71</v>
      </c>
      <c r="AR6" s="97" t="s">
        <v>16</v>
      </c>
      <c r="AS6" s="207" t="s">
        <v>77</v>
      </c>
      <c r="AT6" s="97" t="s">
        <v>16</v>
      </c>
      <c r="AU6" s="222"/>
      <c r="AV6" s="226" t="s">
        <v>54</v>
      </c>
      <c r="AW6" s="206"/>
      <c r="AX6" s="226" t="s">
        <v>55</v>
      </c>
      <c r="AY6" s="206"/>
      <c r="AZ6" s="149"/>
      <c r="BA6" s="222"/>
      <c r="BB6" s="17"/>
      <c r="BC6" s="17"/>
      <c r="BD6" s="18"/>
      <c r="BE6" s="63"/>
      <c r="BF6" s="18"/>
      <c r="BG6" s="64"/>
      <c r="BH6" s="18"/>
      <c r="BI6" s="64"/>
      <c r="BJ6" s="18"/>
      <c r="BK6" s="17"/>
      <c r="BL6" s="63"/>
      <c r="BM6" s="63"/>
      <c r="BN6" s="17"/>
      <c r="BO6" s="65"/>
      <c r="BP6" s="18"/>
      <c r="BQ6" s="64"/>
      <c r="BR6" s="18"/>
      <c r="BS6" s="64"/>
      <c r="BT6" s="18"/>
      <c r="BU6" s="17"/>
      <c r="BV6" s="63"/>
      <c r="BW6" s="63"/>
      <c r="BX6" s="16"/>
      <c r="BY6" s="65"/>
      <c r="BZ6" s="18"/>
      <c r="CA6" s="64"/>
      <c r="CB6" s="18"/>
      <c r="CC6" s="64"/>
      <c r="CD6" s="18"/>
      <c r="CE6" s="17"/>
      <c r="CF6" s="63"/>
      <c r="CG6" s="63"/>
      <c r="CH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6"/>
      <c r="DE6" s="4"/>
      <c r="DF6" s="4"/>
      <c r="DG6" s="4"/>
      <c r="DH6" s="4"/>
      <c r="DK6" s="4"/>
      <c r="DL6" s="4"/>
      <c r="DM6" s="4"/>
      <c r="DN6" s="4"/>
      <c r="DO6" s="4"/>
      <c r="DP6" s="4"/>
      <c r="DQ6" s="4"/>
      <c r="DR6" s="4"/>
      <c r="DT6" s="4"/>
      <c r="DU6" s="4"/>
      <c r="DV6" s="4"/>
      <c r="DW6" s="4"/>
      <c r="DX6" s="4"/>
      <c r="DY6" s="4"/>
      <c r="EB6" s="4"/>
      <c r="EC6" s="4"/>
      <c r="ED6" s="4"/>
      <c r="EE6" s="4"/>
      <c r="EF6" s="4"/>
      <c r="EG6" s="4"/>
      <c r="EH6" s="4"/>
      <c r="EI6" s="4"/>
      <c r="EL6" s="4"/>
      <c r="EM6" s="4"/>
      <c r="EN6" s="4"/>
      <c r="EO6" s="4"/>
      <c r="EP6" s="4"/>
      <c r="EQ6" s="4"/>
      <c r="ER6" s="4"/>
      <c r="ES6" s="4"/>
      <c r="ET6" s="4"/>
      <c r="EU6" s="4"/>
      <c r="EW6" s="4"/>
      <c r="EX6" s="4"/>
      <c r="EY6" s="4"/>
      <c r="EZ6" s="4"/>
      <c r="FA6" s="4"/>
      <c r="FB6" s="4"/>
      <c r="FC6" s="4"/>
      <c r="FD6" s="4"/>
      <c r="FE6" s="4"/>
      <c r="FF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H6" s="4"/>
      <c r="GI6" s="4"/>
      <c r="GJ6" s="4"/>
      <c r="GK6" s="4"/>
      <c r="GL6" s="4"/>
      <c r="GM6" s="4"/>
      <c r="GN6" s="4"/>
      <c r="GO6" s="4"/>
      <c r="GP6" s="4"/>
      <c r="GQ6" s="4"/>
      <c r="GS6" s="4"/>
    </row>
    <row r="7" spans="1:204" ht="15.75" x14ac:dyDescent="0.25">
      <c r="A7" t="s">
        <v>5</v>
      </c>
      <c r="B7" s="209">
        <v>1.77</v>
      </c>
      <c r="C7" s="99">
        <f>B7/AVERAGE(L7,M7)</f>
        <v>4.527433175597903E-2</v>
      </c>
      <c r="D7" s="191">
        <v>1.58</v>
      </c>
      <c r="E7" s="99">
        <f>D7/AVERAGE(L7,M7)</f>
        <v>4.0414375239800487E-2</v>
      </c>
      <c r="F7" s="191">
        <v>2.41</v>
      </c>
      <c r="G7" s="99">
        <f>F7/AVERAGE(M7,L7)</f>
        <v>6.1644711599948845E-2</v>
      </c>
      <c r="H7" s="210"/>
      <c r="I7" s="214">
        <f>AVERAGE(B7,D7,F7)</f>
        <v>1.92</v>
      </c>
      <c r="J7" s="69">
        <f>STDEV(B7,D7,F7)/I7</f>
        <v>0.22648765526207232</v>
      </c>
      <c r="K7" s="269"/>
      <c r="L7" s="216">
        <v>38.94</v>
      </c>
      <c r="M7" s="216">
        <v>39.25</v>
      </c>
      <c r="N7" s="216">
        <v>38.96</v>
      </c>
      <c r="O7" s="217">
        <f>AVERAGE(N7,M7,L7)</f>
        <v>39.050000000000004</v>
      </c>
      <c r="P7" s="216">
        <v>40.06</v>
      </c>
      <c r="Q7" s="216">
        <v>40.590000000000003</v>
      </c>
      <c r="R7" s="217">
        <v>39.83</v>
      </c>
      <c r="S7" s="217">
        <f>AVERAGE(R7,P7,Q7)</f>
        <v>40.160000000000004</v>
      </c>
      <c r="T7" s="218">
        <f>ABS(L7-R7)/AVERAGE(L7:R7)</f>
        <v>2.2516987133150222E-2</v>
      </c>
      <c r="U7" s="73"/>
      <c r="V7" s="73"/>
      <c r="W7" s="22"/>
      <c r="X7" s="209">
        <v>2.84</v>
      </c>
      <c r="Y7" s="99">
        <f>X7/AVERAGE(L7,M7)</f>
        <v>7.264356055761606E-2</v>
      </c>
      <c r="Z7" s="191">
        <v>2.6</v>
      </c>
      <c r="AA7" s="99">
        <f>Z7/AVERAGE(N7,O7)</f>
        <v>6.6658120753749522E-2</v>
      </c>
      <c r="AB7" s="191">
        <v>1.85</v>
      </c>
      <c r="AC7" s="99">
        <f>AB7/AVERAGE(M7,N7)</f>
        <v>4.7308528321186545E-2</v>
      </c>
      <c r="AD7" s="191">
        <v>2.62</v>
      </c>
      <c r="AE7" s="99">
        <f>AD7/AVERAGE(O7,P7)</f>
        <v>6.623688534951333E-2</v>
      </c>
      <c r="AF7" s="191">
        <v>3.14</v>
      </c>
      <c r="AG7" s="99">
        <f>AF7/AVERAGE(Q7,R7)</f>
        <v>7.8090027356379016E-2</v>
      </c>
      <c r="AH7" s="22"/>
      <c r="AI7" s="73"/>
      <c r="AJ7" s="233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227"/>
      <c r="AV7" s="191">
        <v>2.34</v>
      </c>
      <c r="AW7" s="69">
        <f>AV7/AVERAGE(L7,M7)</f>
        <v>5.9854201304514645E-2</v>
      </c>
      <c r="AX7" s="191">
        <v>1.69</v>
      </c>
      <c r="AY7" s="69">
        <f>AX7/AVERAGE(P7,Q7)</f>
        <v>4.1909485430874145E-2</v>
      </c>
      <c r="AZ7" s="224"/>
      <c r="BA7" s="224"/>
      <c r="BB7" s="16"/>
      <c r="BC7" s="38"/>
      <c r="BD7" s="20"/>
      <c r="BE7" s="43"/>
      <c r="BF7" s="23"/>
      <c r="BG7" s="16"/>
      <c r="BH7" s="23"/>
      <c r="BI7" s="16"/>
      <c r="BJ7" s="23"/>
      <c r="BK7" s="23"/>
      <c r="BL7" s="16"/>
      <c r="BM7" s="38"/>
      <c r="BN7" s="16"/>
      <c r="BO7" s="43"/>
      <c r="BP7" s="23"/>
      <c r="BQ7" s="16"/>
      <c r="BR7" s="23"/>
      <c r="BS7" s="16"/>
      <c r="BT7" s="23"/>
      <c r="BU7" s="23"/>
      <c r="BV7" s="16"/>
      <c r="BW7" s="38"/>
      <c r="BX7" s="20"/>
      <c r="BY7" s="43"/>
      <c r="BZ7" s="23"/>
      <c r="CA7" s="16"/>
      <c r="CB7" s="23"/>
      <c r="CC7" s="16"/>
      <c r="CD7" s="23"/>
      <c r="CE7" s="23"/>
      <c r="CF7" s="16"/>
      <c r="CG7" s="38"/>
      <c r="CH7" s="16"/>
      <c r="CM7" s="20"/>
      <c r="CN7" s="16"/>
      <c r="CO7" s="20"/>
      <c r="CP7" s="16"/>
      <c r="CQ7" s="20"/>
      <c r="CR7" s="16"/>
      <c r="CS7" s="20"/>
      <c r="CT7" s="16"/>
      <c r="CU7" s="20"/>
      <c r="CV7" s="16"/>
      <c r="CW7" s="20"/>
      <c r="CX7" s="16"/>
      <c r="CY7" s="20"/>
      <c r="CZ7" s="19"/>
      <c r="DA7" s="19"/>
      <c r="DB7" s="19"/>
      <c r="DC7" s="1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5"/>
      <c r="EY7" s="8"/>
      <c r="FA7" s="8"/>
      <c r="FC7" s="8"/>
      <c r="FE7" s="1"/>
      <c r="FF7" s="8"/>
      <c r="FG7" s="2"/>
      <c r="FH7" s="5"/>
      <c r="FJ7" s="8"/>
      <c r="FL7" s="8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</row>
    <row r="8" spans="1:204" ht="15.75" x14ac:dyDescent="0.25">
      <c r="A8" t="s">
        <v>9</v>
      </c>
      <c r="B8" s="209">
        <v>42.01</v>
      </c>
      <c r="C8" s="69">
        <f>B8/AVERAGE(L8,M8)</f>
        <v>0.9715541165587418</v>
      </c>
      <c r="D8" s="191">
        <v>41.63</v>
      </c>
      <c r="E8" s="69">
        <f>D8/AVERAGE(L8,M8)</f>
        <v>0.96276595744680848</v>
      </c>
      <c r="F8" s="191">
        <v>41.85</v>
      </c>
      <c r="G8" s="69">
        <f>F8/AVERAGE(L8,M8)</f>
        <v>0.96785383903792788</v>
      </c>
      <c r="H8" s="211"/>
      <c r="I8" s="214">
        <f>AVERAGE(B8,D8,F8)</f>
        <v>41.830000000000005</v>
      </c>
      <c r="J8" s="69">
        <f>STDEV(B8,D8,F8)/I8</f>
        <v>4.5610289333824269E-3</v>
      </c>
      <c r="K8" s="269"/>
      <c r="L8" s="216">
        <v>42.81</v>
      </c>
      <c r="M8" s="216">
        <v>43.67</v>
      </c>
      <c r="N8" s="216">
        <v>43.38</v>
      </c>
      <c r="O8" s="217">
        <f>AVERAGE(N8,M8,L8)</f>
        <v>43.286666666666669</v>
      </c>
      <c r="P8" s="216">
        <v>45.02</v>
      </c>
      <c r="Q8" s="216">
        <v>45.87</v>
      </c>
      <c r="R8" s="217">
        <v>45.5</v>
      </c>
      <c r="S8" s="217">
        <f>AVERAGE(R8,P8,Q8)</f>
        <v>45.463333333333338</v>
      </c>
      <c r="T8" s="218">
        <f>ABS(L8-R8)/AVERAGE(L8:R8)</f>
        <v>6.083285771206421E-2</v>
      </c>
      <c r="U8" s="73"/>
      <c r="V8" s="73"/>
      <c r="W8" s="22"/>
      <c r="X8" s="209">
        <v>41.17</v>
      </c>
      <c r="Y8" s="69">
        <f>X8/AVERAGE(L8,M8)</f>
        <v>0.9521276595744681</v>
      </c>
      <c r="Z8" s="191">
        <v>43.51</v>
      </c>
      <c r="AA8" s="69">
        <f>Z8/AVERAGE(L8,M8)</f>
        <v>1.0062442183163736</v>
      </c>
      <c r="AB8" s="191">
        <v>42.3</v>
      </c>
      <c r="AC8" s="69">
        <f>AB8/AVERAGE(M8,N8)</f>
        <v>0.97185525560022956</v>
      </c>
      <c r="AD8" s="191">
        <v>43.1</v>
      </c>
      <c r="AE8" s="69">
        <f>AD8/AVERAGE(M8,N8)</f>
        <v>0.99023549684089596</v>
      </c>
      <c r="AF8" s="191">
        <v>39.74</v>
      </c>
      <c r="AG8" s="69">
        <f>AF8/AVERAGE(M8,N8)</f>
        <v>0.91303848363009754</v>
      </c>
      <c r="AH8" s="22"/>
      <c r="AI8" s="224"/>
      <c r="AJ8" s="233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227"/>
      <c r="AV8" s="191">
        <v>42.15</v>
      </c>
      <c r="AW8" s="69">
        <f>AV8/AVERAGE(L8,M8)</f>
        <v>0.97479185938945412</v>
      </c>
      <c r="AX8" s="191">
        <v>39.61</v>
      </c>
      <c r="AY8" s="69">
        <f>AX8/AVERAGE(P8,Q8)</f>
        <v>0.8716030366376939</v>
      </c>
      <c r="AZ8" s="73"/>
      <c r="BA8" s="73"/>
      <c r="BB8" s="16"/>
      <c r="BC8" s="38"/>
      <c r="BD8" s="20"/>
      <c r="BE8" s="43"/>
      <c r="BF8" s="38"/>
      <c r="BG8" s="16"/>
      <c r="BH8" s="38"/>
      <c r="BI8" s="16"/>
      <c r="BJ8" s="38"/>
      <c r="BK8" s="38"/>
      <c r="BL8" s="16"/>
      <c r="BM8" s="38"/>
      <c r="BN8" s="16"/>
      <c r="BO8" s="43"/>
      <c r="BP8" s="23"/>
      <c r="BQ8" s="16"/>
      <c r="BR8" s="23"/>
      <c r="BS8" s="16"/>
      <c r="BT8" s="23"/>
      <c r="BU8" s="38"/>
      <c r="BV8" s="16"/>
      <c r="BW8" s="38"/>
      <c r="BX8" s="20"/>
      <c r="BY8" s="43"/>
      <c r="BZ8" s="23"/>
      <c r="CA8" s="16"/>
      <c r="CB8" s="23"/>
      <c r="CC8" s="16"/>
      <c r="CD8" s="23"/>
      <c r="CE8" s="38"/>
      <c r="CF8" s="16"/>
      <c r="CG8" s="38"/>
      <c r="CH8" s="16"/>
      <c r="CM8" s="20"/>
      <c r="CN8" s="16"/>
      <c r="CO8" s="20"/>
      <c r="CP8" s="16"/>
      <c r="CQ8" s="20"/>
      <c r="CR8" s="16"/>
      <c r="CS8" s="20"/>
      <c r="CT8" s="16"/>
      <c r="CU8" s="20"/>
      <c r="CV8" s="16"/>
      <c r="CW8" s="20"/>
      <c r="CX8" s="16"/>
      <c r="CY8" s="20"/>
      <c r="CZ8" s="19"/>
      <c r="DA8" s="19"/>
      <c r="DB8" s="19"/>
      <c r="DC8" s="1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5"/>
      <c r="EY8" s="8"/>
      <c r="FA8" s="8"/>
      <c r="FC8" s="8"/>
      <c r="FE8" s="1"/>
      <c r="FF8" s="8"/>
      <c r="FG8" s="2"/>
      <c r="FH8" s="5"/>
      <c r="FJ8" s="8"/>
      <c r="FL8" s="8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</row>
    <row r="9" spans="1:204" ht="15.75" x14ac:dyDescent="0.25">
      <c r="A9" t="s">
        <v>7</v>
      </c>
      <c r="B9" s="209">
        <v>20.05</v>
      </c>
      <c r="C9" s="69">
        <f>B9/AVERAGE(L9,M9)</f>
        <v>1.7144078666096623</v>
      </c>
      <c r="D9" s="191">
        <v>40.5</v>
      </c>
      <c r="E9" s="69">
        <f>D9/AVERAGE(L9,M9)</f>
        <v>3.4630183839247541</v>
      </c>
      <c r="F9" s="191">
        <v>21.27</v>
      </c>
      <c r="G9" s="69">
        <f>F9/AVERAGE(L9,M9)</f>
        <v>1.8187259512612226</v>
      </c>
      <c r="H9" s="211"/>
      <c r="I9" s="214">
        <f>AVERAGE(B9,D9,F9)</f>
        <v>27.27333333333333</v>
      </c>
      <c r="J9" s="69">
        <f>STDEV(B9,D9,F9)/I9</f>
        <v>0.42058886028352854</v>
      </c>
      <c r="K9" s="22"/>
      <c r="L9" s="216">
        <v>10.97</v>
      </c>
      <c r="M9" s="216">
        <v>12.42</v>
      </c>
      <c r="N9" s="216">
        <v>12.22</v>
      </c>
      <c r="O9" s="217">
        <f>AVERAGE(N9,M9,L9)</f>
        <v>11.87</v>
      </c>
      <c r="P9" s="216">
        <v>11.36</v>
      </c>
      <c r="Q9" s="216">
        <v>13.77</v>
      </c>
      <c r="R9" s="216">
        <v>12.03</v>
      </c>
      <c r="S9" s="217">
        <f>AVERAGE(R9,P9,Q9)</f>
        <v>12.386666666666665</v>
      </c>
      <c r="T9" s="218">
        <f>ABS(L9-R9)/AVERAGE(L9:R9)</f>
        <v>8.7665406427221065E-2</v>
      </c>
      <c r="U9" s="73"/>
      <c r="V9" s="73"/>
      <c r="W9" s="22"/>
      <c r="X9" s="209"/>
      <c r="Y9" s="191"/>
      <c r="Z9" s="191"/>
      <c r="AA9" s="191"/>
      <c r="AB9" s="191"/>
      <c r="AC9" s="191"/>
      <c r="AD9" s="191"/>
      <c r="AE9" s="191"/>
      <c r="AF9" s="191"/>
      <c r="AG9" s="191"/>
      <c r="AH9" s="22"/>
      <c r="AI9" s="225"/>
      <c r="AJ9" s="227"/>
      <c r="AK9" s="209">
        <v>16.25</v>
      </c>
      <c r="AL9" s="191">
        <f>AK9/0.5*10</f>
        <v>325</v>
      </c>
      <c r="AM9" s="191">
        <v>45.99</v>
      </c>
      <c r="AN9" s="191">
        <f>AM9/0.5*10</f>
        <v>919.80000000000007</v>
      </c>
      <c r="AO9" s="191">
        <v>35.29</v>
      </c>
      <c r="AP9" s="191">
        <f>AO9/0.5*20</f>
        <v>1411.6</v>
      </c>
      <c r="AQ9" s="191">
        <v>43.91</v>
      </c>
      <c r="AR9" s="191">
        <f>AQ9/0.5*20</f>
        <v>1756.3999999999999</v>
      </c>
      <c r="AS9" s="191">
        <v>8.85</v>
      </c>
      <c r="AT9" s="191">
        <f>AS9/0.5*100</f>
        <v>1770</v>
      </c>
      <c r="AU9" s="225"/>
      <c r="AV9" s="191" t="s">
        <v>53</v>
      </c>
      <c r="AW9" s="69"/>
      <c r="AX9" s="191" t="s">
        <v>53</v>
      </c>
      <c r="AY9" s="69"/>
      <c r="AZ9" s="225"/>
      <c r="BA9" s="225"/>
      <c r="BB9" s="16"/>
      <c r="BC9" s="45"/>
      <c r="BD9" s="19"/>
      <c r="BE9" s="43"/>
      <c r="BF9" s="16"/>
      <c r="BG9" s="16"/>
      <c r="BH9" s="16"/>
      <c r="BI9" s="16"/>
      <c r="BJ9" s="16"/>
      <c r="BK9" s="38"/>
      <c r="BL9" s="16"/>
      <c r="BM9" s="38"/>
      <c r="BN9" s="16"/>
      <c r="BO9" s="43"/>
      <c r="BP9" s="16"/>
      <c r="BQ9" s="16"/>
      <c r="BR9" s="16"/>
      <c r="BS9" s="16"/>
      <c r="BT9" s="16"/>
      <c r="BU9" s="38"/>
      <c r="BV9" s="16"/>
      <c r="BW9" s="38"/>
      <c r="BX9" s="20"/>
      <c r="BY9" s="43"/>
      <c r="BZ9" s="16"/>
      <c r="CA9" s="16"/>
      <c r="CB9" s="16"/>
      <c r="CC9" s="16"/>
      <c r="CD9" s="16"/>
      <c r="CE9" s="38"/>
      <c r="CF9" s="16"/>
      <c r="CG9" s="38"/>
      <c r="CH9" s="16"/>
      <c r="CM9" s="19"/>
      <c r="CN9" s="16"/>
      <c r="CO9" s="19"/>
      <c r="CP9" s="16"/>
      <c r="CQ9" s="19"/>
      <c r="CR9" s="16"/>
      <c r="CS9" s="19"/>
      <c r="CT9" s="16"/>
      <c r="CU9" s="19"/>
      <c r="CV9" s="16"/>
      <c r="CW9" s="19"/>
      <c r="CX9" s="16"/>
      <c r="CY9" s="19"/>
      <c r="CZ9" s="46"/>
      <c r="DA9" s="16"/>
      <c r="DB9" s="46"/>
      <c r="DC9" s="45"/>
      <c r="DD9" s="2"/>
      <c r="DE9" s="2"/>
      <c r="DI9" s="6"/>
      <c r="DJ9" s="2"/>
      <c r="DL9" s="8"/>
      <c r="DN9" s="8"/>
      <c r="DO9" s="8"/>
      <c r="DP9" s="8"/>
      <c r="DQ9" s="8"/>
      <c r="DR9" s="8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5"/>
      <c r="EE9" s="1"/>
      <c r="EG9" s="1"/>
      <c r="EI9" s="1"/>
      <c r="EJ9" s="1"/>
      <c r="EK9" s="2"/>
      <c r="EL9" s="2"/>
      <c r="EN9" s="7"/>
      <c r="EP9" s="7"/>
      <c r="ER9" s="7"/>
      <c r="ET9" s="7"/>
      <c r="EU9" s="7"/>
      <c r="EV9" s="7"/>
      <c r="EW9" s="7"/>
      <c r="EY9" s="7"/>
      <c r="FA9" s="7"/>
      <c r="FC9" s="7"/>
      <c r="FE9" s="7"/>
      <c r="FF9" s="7"/>
      <c r="FG9" s="7"/>
      <c r="FH9" s="7"/>
      <c r="FJ9" s="7"/>
      <c r="FL9" s="7"/>
      <c r="FN9" s="7"/>
      <c r="FP9" s="7"/>
      <c r="FR9" s="7"/>
      <c r="FS9" s="7"/>
      <c r="FT9" s="7"/>
      <c r="FU9" s="7"/>
      <c r="FW9" s="7"/>
      <c r="FY9" s="7"/>
      <c r="GA9" s="7"/>
      <c r="GC9" s="7"/>
      <c r="GE9" s="7"/>
      <c r="GF9" s="7"/>
      <c r="GG9" s="7"/>
      <c r="GH9" s="7"/>
      <c r="GJ9" s="7"/>
      <c r="GL9" s="7"/>
      <c r="GN9" s="7"/>
      <c r="GP9" s="7"/>
      <c r="GQ9" s="2"/>
      <c r="GR9" s="2"/>
      <c r="GS9" s="2"/>
    </row>
    <row r="10" spans="1:204" ht="15.75" x14ac:dyDescent="0.25">
      <c r="A10" t="s">
        <v>6</v>
      </c>
      <c r="B10" s="209">
        <v>42.65</v>
      </c>
      <c r="C10" s="69">
        <f>B10/AVERAGE(L10,M10)</f>
        <v>1.6435452793834298</v>
      </c>
      <c r="D10" s="191">
        <v>51.39</v>
      </c>
      <c r="E10" s="69">
        <f>D10/AVERAGE(L10,M10)</f>
        <v>1.9803468208092487</v>
      </c>
      <c r="F10" s="191">
        <v>44.03</v>
      </c>
      <c r="G10" s="69">
        <f>F10/AVERAGE(L10,M10)</f>
        <v>1.6967244701348749</v>
      </c>
      <c r="H10" s="211"/>
      <c r="I10" s="214">
        <f>AVERAGE(B10,D10,F10)</f>
        <v>46.023333333333333</v>
      </c>
      <c r="J10" s="69">
        <f>STDEV(B10,D10,F10)/I10</f>
        <v>0.1020919038919461</v>
      </c>
      <c r="K10" s="22"/>
      <c r="L10" s="216">
        <v>26.86</v>
      </c>
      <c r="M10" s="216">
        <v>25.04</v>
      </c>
      <c r="N10" s="216">
        <v>24.69</v>
      </c>
      <c r="O10" s="217">
        <f>AVERAGE(N10,M10,L10)</f>
        <v>25.53</v>
      </c>
      <c r="P10" s="216">
        <v>22.51</v>
      </c>
      <c r="Q10" s="216">
        <v>24.5</v>
      </c>
      <c r="R10" s="216">
        <v>23.22</v>
      </c>
      <c r="S10" s="217">
        <f>AVERAGE(R10,P10,Q10)</f>
        <v>23.41</v>
      </c>
      <c r="T10" s="218">
        <f>ABS(L10-R10)/AVERAGE(L10:R10)</f>
        <v>0.14783870031911811</v>
      </c>
      <c r="U10" s="73"/>
      <c r="V10" s="73"/>
      <c r="W10" s="22"/>
      <c r="X10" s="209"/>
      <c r="Y10" s="191"/>
      <c r="Z10" s="191"/>
      <c r="AA10" s="191"/>
      <c r="AB10" s="191"/>
      <c r="AC10" s="191"/>
      <c r="AD10" s="191"/>
      <c r="AE10" s="191"/>
      <c r="AF10" s="191"/>
      <c r="AG10" s="191"/>
      <c r="AH10" s="22"/>
      <c r="AI10" s="225"/>
      <c r="AJ10" s="227"/>
      <c r="AK10" s="209">
        <v>31.85</v>
      </c>
      <c r="AL10" s="191">
        <f>AK10/0.5*10</f>
        <v>637</v>
      </c>
      <c r="AM10" s="191">
        <v>88.44</v>
      </c>
      <c r="AN10" s="191">
        <f>AM10/0.5*10</f>
        <v>1768.8</v>
      </c>
      <c r="AO10" s="191">
        <v>66.22</v>
      </c>
      <c r="AP10" s="191">
        <f>AO10/0.5*20</f>
        <v>2648.8</v>
      </c>
      <c r="AQ10" s="191">
        <v>92.77</v>
      </c>
      <c r="AR10" s="191">
        <f>AQ10/0.5*20</f>
        <v>3710.7999999999997</v>
      </c>
      <c r="AS10" s="191">
        <v>16.57</v>
      </c>
      <c r="AT10" s="191">
        <f>AS10/0.5*100</f>
        <v>3314</v>
      </c>
      <c r="AU10" s="225"/>
      <c r="AV10" s="191" t="s">
        <v>53</v>
      </c>
      <c r="AW10" s="69"/>
      <c r="AX10" s="191" t="s">
        <v>53</v>
      </c>
      <c r="AY10" s="69"/>
      <c r="AZ10" s="225"/>
      <c r="BA10" s="225"/>
      <c r="BB10" s="16"/>
      <c r="BC10" s="45"/>
      <c r="BD10" s="19"/>
      <c r="BE10" s="43"/>
      <c r="BF10" s="16"/>
      <c r="BG10" s="16"/>
      <c r="BH10" s="16"/>
      <c r="BI10" s="16"/>
      <c r="BJ10" s="16"/>
      <c r="BK10" s="38"/>
      <c r="BL10" s="16"/>
      <c r="BM10" s="38"/>
      <c r="BN10" s="16"/>
      <c r="BO10" s="43"/>
      <c r="BP10" s="16"/>
      <c r="BQ10" s="16"/>
      <c r="BR10" s="16"/>
      <c r="BS10" s="16"/>
      <c r="BT10" s="16"/>
      <c r="BU10" s="38"/>
      <c r="BV10" s="16"/>
      <c r="BW10" s="38"/>
      <c r="BX10" s="20"/>
      <c r="BY10" s="43"/>
      <c r="BZ10" s="16"/>
      <c r="CA10" s="16"/>
      <c r="CB10" s="16"/>
      <c r="CC10" s="16"/>
      <c r="CD10" s="16"/>
      <c r="CE10" s="38"/>
      <c r="CF10" s="16"/>
      <c r="CG10" s="38"/>
      <c r="CH10" s="16"/>
      <c r="CM10" s="19"/>
      <c r="CN10" s="16"/>
      <c r="CO10" s="19"/>
      <c r="CP10" s="16"/>
      <c r="CQ10" s="19"/>
      <c r="CR10" s="16"/>
      <c r="CS10" s="19"/>
      <c r="CT10" s="16"/>
      <c r="CU10" s="19"/>
      <c r="CV10" s="16"/>
      <c r="CW10" s="19"/>
      <c r="CX10" s="16"/>
      <c r="CY10" s="19"/>
      <c r="CZ10" s="46"/>
      <c r="DA10" s="16"/>
      <c r="DB10" s="46"/>
      <c r="DC10" s="45"/>
      <c r="DD10" s="2"/>
      <c r="DE10" s="2"/>
      <c r="DH10" s="1"/>
      <c r="DI10" s="6"/>
      <c r="DJ10" s="2"/>
      <c r="DL10" s="8"/>
      <c r="DN10" s="8"/>
      <c r="DO10" s="8"/>
      <c r="DP10" s="8"/>
      <c r="DQ10" s="8"/>
      <c r="DR10" s="8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5"/>
      <c r="EE10" s="1"/>
      <c r="EG10" s="1"/>
      <c r="EI10" s="1"/>
      <c r="EJ10" s="1"/>
      <c r="EK10" s="2"/>
      <c r="EL10" s="2"/>
      <c r="EN10" s="7"/>
      <c r="EP10" s="7"/>
      <c r="ER10" s="7"/>
      <c r="ET10" s="7"/>
      <c r="EU10" s="7"/>
      <c r="EV10" s="7"/>
      <c r="EW10" s="7"/>
      <c r="EY10" s="7"/>
      <c r="FA10" s="7"/>
      <c r="FC10" s="7"/>
      <c r="FE10" s="7"/>
      <c r="FF10" s="7"/>
      <c r="FG10" s="7"/>
      <c r="FH10" s="7"/>
      <c r="FJ10" s="7"/>
      <c r="FL10" s="7"/>
      <c r="FN10" s="7"/>
      <c r="FP10" s="7"/>
      <c r="FR10" s="7"/>
      <c r="FS10" s="7"/>
      <c r="FT10" s="7"/>
      <c r="FU10" s="7"/>
      <c r="FW10" s="7"/>
      <c r="FY10" s="7"/>
      <c r="GA10" s="7"/>
      <c r="GC10" s="7"/>
      <c r="GE10" s="7"/>
      <c r="GF10" s="7"/>
      <c r="GG10" s="7"/>
      <c r="GH10" s="7"/>
      <c r="GJ10" s="7"/>
      <c r="GL10" s="7"/>
      <c r="GN10" s="7"/>
      <c r="GP10" s="7"/>
      <c r="GQ10" s="2"/>
      <c r="GR10" s="2"/>
      <c r="GS10" s="2"/>
    </row>
    <row r="11" spans="1:204" ht="15.75" x14ac:dyDescent="0.25">
      <c r="A11" t="s">
        <v>17</v>
      </c>
      <c r="B11" s="212">
        <f>B9+B10</f>
        <v>62.7</v>
      </c>
      <c r="C11" s="69">
        <f>B11/AVERAGE(L11,M11)</f>
        <v>1.6655598353034935</v>
      </c>
      <c r="D11" s="212">
        <v>80.010000000000005</v>
      </c>
      <c r="E11" s="69">
        <f>D11/AVERAGE(L11,M11)</f>
        <v>2.1253818568202951</v>
      </c>
      <c r="F11" s="212">
        <f>F9+F10</f>
        <v>65.3</v>
      </c>
      <c r="G11" s="69">
        <f>F11/AVERAGE(L11,M11)</f>
        <v>1.73462611236552</v>
      </c>
      <c r="H11" s="211"/>
      <c r="I11" s="214">
        <f>AVERAGE(B11,D11,F11)</f>
        <v>69.336666666666659</v>
      </c>
      <c r="J11" s="69">
        <f>STDEV(B11,D11,F11)/I11</f>
        <v>0.13462353207202449</v>
      </c>
      <c r="K11" s="269"/>
      <c r="L11" s="216">
        <f t="shared" ref="L11:R11" si="0">L9+L10</f>
        <v>37.83</v>
      </c>
      <c r="M11" s="216">
        <f t="shared" si="0"/>
        <v>37.46</v>
      </c>
      <c r="N11" s="216">
        <f t="shared" si="0"/>
        <v>36.910000000000004</v>
      </c>
      <c r="O11" s="217">
        <f>AVERAGE(N11,M11,L11)</f>
        <v>37.4</v>
      </c>
      <c r="P11" s="216">
        <f t="shared" si="0"/>
        <v>33.870000000000005</v>
      </c>
      <c r="Q11" s="216">
        <f t="shared" si="0"/>
        <v>38.269999999999996</v>
      </c>
      <c r="R11" s="216">
        <f t="shared" si="0"/>
        <v>35.25</v>
      </c>
      <c r="S11" s="217">
        <f>AVERAGE(R11,P11,Q11)</f>
        <v>35.796666666666667</v>
      </c>
      <c r="T11" s="218">
        <f>ABS(L11-R11)/AVERAGE(L11:R11)</f>
        <v>7.0275107980855234E-2</v>
      </c>
      <c r="U11" s="73"/>
      <c r="V11" s="73"/>
      <c r="W11" s="22"/>
      <c r="X11" s="212"/>
      <c r="Y11" s="191"/>
      <c r="Z11" s="212"/>
      <c r="AA11" s="191"/>
      <c r="AB11" s="191"/>
      <c r="AC11" s="191"/>
      <c r="AD11" s="191"/>
      <c r="AE11" s="191"/>
      <c r="AF11" s="191"/>
      <c r="AG11" s="191"/>
      <c r="AH11" s="22"/>
      <c r="AI11" s="225"/>
      <c r="AJ11" s="227"/>
      <c r="AK11" s="212">
        <f>SUM(AK10,AK9)</f>
        <v>48.1</v>
      </c>
      <c r="AL11" s="191">
        <f>AK11/0.5*10</f>
        <v>962</v>
      </c>
      <c r="AM11" s="212">
        <f>SUM(AM10,AM9)</f>
        <v>134.43</v>
      </c>
      <c r="AN11" s="191">
        <f>AM11/0.5*10</f>
        <v>2688.6000000000004</v>
      </c>
      <c r="AO11" s="212">
        <f>SUM(AO10,AO9)</f>
        <v>101.50999999999999</v>
      </c>
      <c r="AP11" s="191">
        <f>AO11/0.5*20</f>
        <v>4060.3999999999996</v>
      </c>
      <c r="AQ11" s="212">
        <f>SUM(AQ10,AQ9)</f>
        <v>136.68</v>
      </c>
      <c r="AR11" s="191">
        <f>AQ11/0.5*20</f>
        <v>5467.2000000000007</v>
      </c>
      <c r="AS11" s="212">
        <f>SUM(AS10,AS9)</f>
        <v>25.42</v>
      </c>
      <c r="AT11" s="191">
        <f>AS11/0.5*100</f>
        <v>5084</v>
      </c>
      <c r="AU11" s="225" t="s">
        <v>81</v>
      </c>
      <c r="AV11" s="191"/>
      <c r="AW11" s="69"/>
      <c r="AX11" s="191"/>
      <c r="AY11" s="69"/>
      <c r="AZ11" s="225"/>
      <c r="BA11" s="225"/>
      <c r="BB11" s="16"/>
      <c r="BC11" s="45"/>
      <c r="BD11" s="19"/>
      <c r="BE11" s="19"/>
      <c r="BF11" s="16"/>
      <c r="BG11" s="19"/>
      <c r="BH11" s="16"/>
      <c r="BI11" s="19"/>
      <c r="BJ11" s="16"/>
      <c r="BK11" s="38"/>
      <c r="BL11" s="16"/>
      <c r="BM11" s="38"/>
      <c r="BN11" s="19"/>
      <c r="BO11" s="19"/>
      <c r="BP11" s="16"/>
      <c r="BQ11" s="19"/>
      <c r="BR11" s="16"/>
      <c r="BS11" s="19"/>
      <c r="BT11" s="16"/>
      <c r="BU11" s="38"/>
      <c r="BV11" s="16"/>
      <c r="BW11" s="38"/>
      <c r="BX11" s="20"/>
      <c r="BY11" s="19"/>
      <c r="BZ11" s="16"/>
      <c r="CA11" s="19"/>
      <c r="CB11" s="16"/>
      <c r="CC11" s="19"/>
      <c r="CD11" s="16"/>
      <c r="CE11" s="38"/>
      <c r="CF11" s="16"/>
      <c r="CG11" s="38"/>
      <c r="CH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46"/>
      <c r="DA11" s="16"/>
      <c r="DB11" s="46"/>
      <c r="DC11" s="45"/>
      <c r="DD11" s="2"/>
      <c r="DE11" s="2"/>
      <c r="DH11" s="1"/>
      <c r="DI11" s="6"/>
      <c r="DJ11" s="2"/>
      <c r="DL11" s="8"/>
      <c r="DN11" s="8"/>
      <c r="DO11" s="8"/>
      <c r="DP11" s="8"/>
      <c r="DQ11" s="8"/>
      <c r="DR11" s="8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5"/>
      <c r="EE11" s="1"/>
      <c r="EG11" s="1"/>
      <c r="EI11" s="1"/>
      <c r="EJ11" s="1"/>
      <c r="EK11" s="2"/>
      <c r="EL11" s="2"/>
      <c r="EN11" s="7"/>
      <c r="EP11" s="7"/>
      <c r="ER11" s="7"/>
      <c r="ET11" s="7"/>
      <c r="EU11" s="7"/>
      <c r="EV11" s="7"/>
      <c r="EW11" s="7"/>
      <c r="EY11" s="7"/>
      <c r="FA11" s="7"/>
      <c r="FC11" s="7"/>
      <c r="FE11" s="7"/>
      <c r="FF11" s="7"/>
      <c r="FG11" s="7"/>
      <c r="FH11" s="7"/>
      <c r="FJ11" s="7"/>
      <c r="FL11" s="7"/>
      <c r="FN11" s="7"/>
      <c r="FP11" s="7"/>
      <c r="FR11" s="7"/>
      <c r="FS11" s="7"/>
      <c r="FT11" s="7"/>
      <c r="FU11" s="7"/>
      <c r="FW11" s="7"/>
      <c r="FY11" s="7"/>
      <c r="GA11" s="7"/>
      <c r="GC11" s="7"/>
      <c r="GE11" s="7"/>
      <c r="GF11" s="7"/>
      <c r="GG11" s="7"/>
      <c r="GH11" s="7"/>
      <c r="GJ11" s="7"/>
      <c r="GL11" s="7"/>
      <c r="GN11" s="7"/>
      <c r="GP11" s="7"/>
      <c r="GQ11" s="2"/>
      <c r="GR11" s="2"/>
      <c r="GS11" s="2"/>
    </row>
    <row r="12" spans="1:204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270"/>
      <c r="L12" s="219">
        <f t="shared" ref="L12:S12" si="1">(L7+L8+L11)/3</f>
        <v>39.86</v>
      </c>
      <c r="M12" s="219">
        <f t="shared" si="1"/>
        <v>40.126666666666665</v>
      </c>
      <c r="N12" s="219">
        <f t="shared" si="1"/>
        <v>39.75</v>
      </c>
      <c r="O12" s="219">
        <f t="shared" si="1"/>
        <v>39.912222222222226</v>
      </c>
      <c r="P12" s="219">
        <f t="shared" si="1"/>
        <v>39.650000000000006</v>
      </c>
      <c r="Q12" s="219">
        <f t="shared" si="1"/>
        <v>41.576666666666668</v>
      </c>
      <c r="R12" s="219">
        <f t="shared" si="1"/>
        <v>40.193333333333335</v>
      </c>
      <c r="S12" s="219">
        <f t="shared" si="1"/>
        <v>40.473333333333336</v>
      </c>
      <c r="T12" s="219"/>
      <c r="U12" s="270"/>
      <c r="V12" s="270"/>
      <c r="W12" s="269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1"/>
      <c r="AI12" s="21"/>
      <c r="AJ12" s="233"/>
      <c r="AK12" s="31"/>
      <c r="AL12" s="69">
        <f>AL11/AK13</f>
        <v>0.96199999999999997</v>
      </c>
      <c r="AM12" s="31"/>
      <c r="AN12" s="69">
        <f>AN11/AM13</f>
        <v>0.89620000000000011</v>
      </c>
      <c r="AO12" s="31"/>
      <c r="AP12" s="69">
        <f>AP11/AO13</f>
        <v>1.0150999999999999</v>
      </c>
      <c r="AQ12" s="31"/>
      <c r="AR12" s="69">
        <f>AR11/AQ13</f>
        <v>0.91120000000000012</v>
      </c>
      <c r="AS12" s="31"/>
      <c r="AT12" s="70">
        <f>AT11/AS13</f>
        <v>0.63549999999999995</v>
      </c>
      <c r="AU12" s="235">
        <f>AVERAGE(AL12,AN12,AP12,AR12,AT12)</f>
        <v>0.88400000000000001</v>
      </c>
      <c r="AV12" s="31"/>
      <c r="AW12" s="31"/>
      <c r="AX12" s="31"/>
      <c r="AY12" s="31"/>
      <c r="AZ12" s="21"/>
      <c r="BA12" s="21"/>
      <c r="BB12" s="21"/>
      <c r="BC12" s="21"/>
      <c r="BD12" s="20"/>
      <c r="BE12" s="66"/>
      <c r="BF12" s="66"/>
      <c r="BG12" s="66"/>
      <c r="BH12" s="66"/>
      <c r="BI12" s="66"/>
      <c r="BJ12" s="66"/>
      <c r="BK12" s="21"/>
      <c r="BL12" s="66"/>
      <c r="BM12" s="66"/>
      <c r="BN12" s="21"/>
      <c r="BO12" s="66"/>
      <c r="BP12" s="66"/>
      <c r="BQ12" s="66"/>
      <c r="BR12" s="66"/>
      <c r="BS12" s="66"/>
      <c r="BT12" s="66"/>
      <c r="BU12" s="21"/>
      <c r="BV12" s="66"/>
      <c r="BW12" s="66"/>
      <c r="BX12" s="16"/>
      <c r="BY12" s="66"/>
      <c r="BZ12" s="66"/>
      <c r="CA12" s="66"/>
      <c r="CB12" s="66"/>
      <c r="CC12" s="66"/>
      <c r="CD12" s="66"/>
      <c r="CE12" s="21"/>
      <c r="CF12" s="66"/>
      <c r="CG12" s="66"/>
      <c r="CH12" s="16"/>
      <c r="CM12" s="20"/>
      <c r="CN12" s="19"/>
      <c r="CO12" s="20"/>
      <c r="CP12" s="16"/>
      <c r="CQ12" s="20"/>
      <c r="CR12" s="16"/>
      <c r="CS12" s="20"/>
      <c r="CT12" s="16"/>
      <c r="CU12" s="20"/>
      <c r="CV12" s="19"/>
      <c r="CW12" s="20"/>
      <c r="CX12" s="16"/>
      <c r="CY12" s="20"/>
      <c r="CZ12" s="16"/>
      <c r="DA12" s="16"/>
      <c r="DB12" s="16"/>
      <c r="DC12" s="16"/>
      <c r="DI12" s="6"/>
      <c r="DJ12" s="2"/>
      <c r="DL12" s="8"/>
      <c r="DN12" s="8"/>
      <c r="DO12" s="8"/>
      <c r="DP12" s="8"/>
      <c r="DQ12" s="8"/>
      <c r="DR12" s="8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P12" s="5"/>
      <c r="EZ12" s="2"/>
    </row>
    <row r="13" spans="1:204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270"/>
      <c r="L13" s="219">
        <v>40</v>
      </c>
      <c r="M13" s="219">
        <v>40</v>
      </c>
      <c r="N13" s="219">
        <v>40</v>
      </c>
      <c r="O13" s="219">
        <v>40</v>
      </c>
      <c r="P13" s="219">
        <v>40</v>
      </c>
      <c r="Q13" s="219">
        <v>40</v>
      </c>
      <c r="R13" s="219">
        <v>40</v>
      </c>
      <c r="S13" s="219">
        <v>40</v>
      </c>
      <c r="T13" s="219"/>
      <c r="U13" s="270"/>
      <c r="V13" s="270"/>
      <c r="W13" s="269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2"/>
      <c r="AI13" s="22"/>
      <c r="AJ13" s="44"/>
      <c r="AK13" s="32">
        <v>1000</v>
      </c>
      <c r="AL13" s="59"/>
      <c r="AM13" s="59">
        <v>3000</v>
      </c>
      <c r="AN13" s="59"/>
      <c r="AO13" s="59">
        <v>4000</v>
      </c>
      <c r="AP13" s="59"/>
      <c r="AQ13" s="59">
        <v>6000</v>
      </c>
      <c r="AR13" s="59"/>
      <c r="AS13" s="59">
        <v>8000</v>
      </c>
      <c r="AT13" s="32"/>
      <c r="AU13" s="22"/>
      <c r="AV13" s="32"/>
      <c r="AW13" s="32"/>
      <c r="AX13" s="32"/>
      <c r="AY13" s="32"/>
      <c r="AZ13" s="22"/>
      <c r="BA13" s="22"/>
      <c r="BB13" s="22"/>
      <c r="BC13" s="22"/>
      <c r="BD13" s="44"/>
      <c r="BE13" s="67"/>
      <c r="BF13" s="67"/>
      <c r="BG13" s="67"/>
      <c r="BH13" s="67"/>
      <c r="BI13" s="67"/>
      <c r="BJ13" s="67"/>
      <c r="BK13" s="22"/>
      <c r="BL13" s="67"/>
      <c r="BM13" s="67"/>
      <c r="BN13" s="22"/>
      <c r="BO13" s="67"/>
      <c r="BP13" s="67"/>
      <c r="BQ13" s="67"/>
      <c r="BR13" s="67"/>
      <c r="BS13" s="67"/>
      <c r="BT13" s="67"/>
      <c r="BU13" s="22"/>
      <c r="BV13" s="67"/>
      <c r="BW13" s="67"/>
      <c r="BX13" s="19"/>
      <c r="BY13" s="67"/>
      <c r="BZ13" s="67"/>
      <c r="CA13" s="67"/>
      <c r="CB13" s="67"/>
      <c r="CC13" s="67"/>
      <c r="CD13" s="67"/>
      <c r="CE13" s="22"/>
      <c r="CF13" s="67"/>
      <c r="CG13" s="67"/>
      <c r="CH13" s="16"/>
      <c r="CM13" s="44"/>
      <c r="CN13" s="16"/>
      <c r="CO13" s="44"/>
      <c r="CP13" s="16"/>
      <c r="CQ13" s="44"/>
      <c r="CR13" s="16"/>
      <c r="CS13" s="44"/>
      <c r="CT13" s="16"/>
      <c r="CU13" s="44"/>
      <c r="CV13" s="16"/>
      <c r="CW13" s="44"/>
      <c r="CX13" s="16"/>
      <c r="CY13" s="44"/>
      <c r="CZ13" s="19"/>
      <c r="DA13" s="19"/>
      <c r="DB13" s="19"/>
      <c r="DC13" s="19"/>
      <c r="DD13" s="1"/>
      <c r="DE13" s="1"/>
      <c r="DI13" s="6"/>
      <c r="DJ13" s="2"/>
      <c r="DL13" s="8"/>
      <c r="DN13" s="8"/>
      <c r="DO13" s="8"/>
      <c r="DP13" s="8"/>
      <c r="DQ13" s="8"/>
      <c r="DR13" s="8"/>
      <c r="DS13" s="14"/>
      <c r="DT13" s="15"/>
      <c r="DU13" s="15"/>
      <c r="DV13" s="15"/>
      <c r="DW13" s="15"/>
      <c r="DX13" s="15"/>
      <c r="DY13" s="15"/>
      <c r="DZ13" s="15"/>
      <c r="EA13" s="14"/>
      <c r="EB13" s="14"/>
      <c r="EC13" s="14"/>
      <c r="EF13" s="2"/>
      <c r="EX13" s="2"/>
    </row>
    <row r="14" spans="1:204" ht="15.75" x14ac:dyDescent="0.25">
      <c r="A14" t="s">
        <v>11</v>
      </c>
      <c r="B14" s="69">
        <f>ABS(B11-B13)/B13</f>
        <v>0.56750000000000012</v>
      </c>
      <c r="C14" s="210"/>
      <c r="D14" s="69">
        <f>ABS(D11-D13)/D13</f>
        <v>1.0002500000000001</v>
      </c>
      <c r="E14" s="211"/>
      <c r="F14" s="69">
        <f>ABS(F11-F13)/F13</f>
        <v>0.63249999999999995</v>
      </c>
      <c r="G14" s="211"/>
      <c r="H14" s="211"/>
      <c r="I14" s="211"/>
      <c r="J14" s="211"/>
      <c r="K14" s="73"/>
      <c r="L14" s="232">
        <f t="shared" ref="L14:S14" si="2">(L12-L13)/L13</f>
        <v>-3.5000000000000144E-3</v>
      </c>
      <c r="M14" s="232">
        <f t="shared" si="2"/>
        <v>3.1666666666666289E-3</v>
      </c>
      <c r="N14" s="232">
        <f t="shared" si="2"/>
        <v>-6.2500000000000003E-3</v>
      </c>
      <c r="O14" s="232">
        <f t="shared" si="2"/>
        <v>-2.1944444444443436E-3</v>
      </c>
      <c r="P14" s="232">
        <f t="shared" si="2"/>
        <v>-8.7499999999998586E-3</v>
      </c>
      <c r="Q14" s="232">
        <f t="shared" si="2"/>
        <v>3.9416666666666697E-2</v>
      </c>
      <c r="R14" s="232">
        <f t="shared" si="2"/>
        <v>4.8333333333333787E-3</v>
      </c>
      <c r="S14" s="218">
        <f t="shared" si="2"/>
        <v>1.1833333333333407E-2</v>
      </c>
      <c r="T14" s="221"/>
      <c r="U14" s="269"/>
      <c r="V14" s="269"/>
      <c r="W14" s="269"/>
      <c r="X14" s="223"/>
      <c r="Y14" s="224"/>
      <c r="Z14" s="223"/>
      <c r="AA14" s="73"/>
      <c r="AB14" s="223"/>
      <c r="AC14" s="73"/>
      <c r="AD14" s="73"/>
      <c r="AE14" s="73"/>
      <c r="AF14" s="73"/>
      <c r="AG14" s="73"/>
      <c r="AH14" s="73"/>
      <c r="AI14" s="73"/>
      <c r="AJ14" s="22"/>
      <c r="AK14" s="228">
        <f>ABS(AL11-AK13)/AK13</f>
        <v>3.7999999999999999E-2</v>
      </c>
      <c r="AL14" s="229"/>
      <c r="AM14" s="228">
        <f>ABS(AN11-AM13)/AM13</f>
        <v>0.10379999999999988</v>
      </c>
      <c r="AN14" s="230"/>
      <c r="AO14" s="228">
        <f>ABS(AP11-AO13)/AO13</f>
        <v>1.5099999999999909E-2</v>
      </c>
      <c r="AP14" s="230"/>
      <c r="AQ14" s="228">
        <f>ABS(AR11-AQ13)/AQ13</f>
        <v>8.8799999999999879E-2</v>
      </c>
      <c r="AR14" s="230"/>
      <c r="AS14" s="271">
        <f>ABS(AT11-AS13)/AS13</f>
        <v>0.36449999999999999</v>
      </c>
      <c r="AT14" s="22"/>
      <c r="AU14" s="225"/>
      <c r="AV14" s="73"/>
      <c r="AW14" s="231"/>
      <c r="AX14" s="73"/>
      <c r="AY14" s="231"/>
      <c r="AZ14" s="73"/>
      <c r="BA14" s="73"/>
      <c r="BB14" s="38"/>
      <c r="BC14" s="38"/>
      <c r="BD14" s="16"/>
      <c r="BE14" s="23"/>
      <c r="BF14" s="23"/>
      <c r="BG14" s="38"/>
      <c r="BH14" s="38"/>
      <c r="BI14" s="38"/>
      <c r="BJ14" s="38"/>
      <c r="BK14" s="38"/>
      <c r="BL14" s="38"/>
      <c r="BM14" s="38"/>
      <c r="BN14" s="20"/>
      <c r="BO14" s="23"/>
      <c r="BP14" s="23"/>
      <c r="BQ14" s="23"/>
      <c r="BR14" s="38"/>
      <c r="BS14" s="23"/>
      <c r="BT14" s="38"/>
      <c r="BU14" s="38"/>
      <c r="BV14" s="38"/>
      <c r="BW14" s="38"/>
      <c r="BX14" s="16"/>
      <c r="BY14" s="38"/>
      <c r="BZ14" s="23"/>
      <c r="CA14" s="38"/>
      <c r="CB14" s="38"/>
      <c r="CC14" s="38"/>
      <c r="CD14" s="38"/>
      <c r="CE14" s="38"/>
      <c r="CF14" s="38"/>
      <c r="CG14" s="38"/>
      <c r="CH14" s="16"/>
      <c r="CM14" s="19"/>
      <c r="CN14" s="19"/>
      <c r="CO14" s="19"/>
      <c r="CP14" s="19"/>
      <c r="CQ14" s="19"/>
      <c r="CR14" s="19"/>
      <c r="CS14" s="19"/>
      <c r="CT14" s="16"/>
      <c r="CU14" s="16"/>
      <c r="CV14" s="16"/>
      <c r="CW14" s="47"/>
      <c r="CX14" s="16"/>
      <c r="CY14" s="16"/>
      <c r="CZ14" s="16"/>
      <c r="DA14" s="16"/>
      <c r="DB14" s="16"/>
      <c r="DC14" s="16"/>
      <c r="DI14" s="6"/>
      <c r="DJ14" s="2"/>
      <c r="DL14" s="8"/>
      <c r="DN14" s="8"/>
      <c r="DO14" s="8"/>
      <c r="DP14" s="8"/>
      <c r="DQ14" s="8"/>
      <c r="DR14" s="8"/>
      <c r="DS14" s="14"/>
      <c r="DT14" s="42"/>
      <c r="DU14" s="42"/>
      <c r="DV14" s="42"/>
      <c r="DW14" s="42"/>
      <c r="DX14" s="42"/>
      <c r="DY14" s="42"/>
      <c r="DZ14" s="42"/>
      <c r="EA14" s="15"/>
      <c r="EB14" s="14"/>
      <c r="EC14" s="14"/>
    </row>
    <row r="15" spans="1:204" ht="60" x14ac:dyDescent="0.25">
      <c r="A15" t="s">
        <v>12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11"/>
      <c r="T15" s="11"/>
      <c r="U15" s="11"/>
      <c r="V15" s="175"/>
      <c r="W15" s="142" t="s">
        <v>79</v>
      </c>
      <c r="X15" s="69">
        <f>AVERAGE(Y8,Y19)</f>
        <v>0.80338256672199027</v>
      </c>
      <c r="Y15" s="41"/>
      <c r="Z15" s="69">
        <f>AVERAGE(AA8,AA19)</f>
        <v>0.97160048961808332</v>
      </c>
      <c r="AA15" s="41"/>
      <c r="AB15" s="69">
        <f>AVERAGE(AC8,AC19)</f>
        <v>1.3015126119305733</v>
      </c>
      <c r="AC15" s="41"/>
      <c r="AD15" s="69">
        <f>AVERAGE(AE8,AE19)</f>
        <v>0.92742594585943228</v>
      </c>
      <c r="AE15" s="41"/>
      <c r="AF15" s="70">
        <f>AVERAGE(AG8,AG19)</f>
        <v>0.64837652538733725</v>
      </c>
      <c r="AG15" s="22"/>
      <c r="AH15" s="22"/>
      <c r="AI15" s="22"/>
      <c r="AJ15" s="142" t="s">
        <v>80</v>
      </c>
      <c r="AK15" s="232">
        <f>AVERAGE(AL11,AL22)</f>
        <v>663</v>
      </c>
      <c r="AL15" s="41"/>
      <c r="AM15" s="232">
        <f>AVERAGE(AN11,AN22)</f>
        <v>1951.3000000000002</v>
      </c>
      <c r="AN15" s="41"/>
      <c r="AO15" s="232">
        <f>AVERAGE(AP11,AP22)</f>
        <v>3149.3999999999996</v>
      </c>
      <c r="AP15" s="41"/>
      <c r="AQ15" s="232">
        <f>AVERAGE(AR11,AR22)</f>
        <v>4528.4000000000005</v>
      </c>
      <c r="AR15" s="41"/>
      <c r="AS15" s="232">
        <f>AVERAGE(AT11,AT22)</f>
        <v>3728</v>
      </c>
      <c r="AT15" s="22"/>
      <c r="AU15" s="22"/>
      <c r="AV15" s="22"/>
      <c r="AW15" s="22"/>
      <c r="AX15" s="22"/>
      <c r="AY15" s="233"/>
      <c r="AZ15" s="22"/>
      <c r="BA15" s="22"/>
      <c r="BB15" s="16"/>
      <c r="BC15" s="16"/>
      <c r="BD15" s="16"/>
      <c r="BE15" s="16"/>
      <c r="BF15" s="16"/>
      <c r="BG15" s="19"/>
      <c r="BH15" s="19"/>
      <c r="BI15" s="19"/>
      <c r="BJ15" s="19"/>
      <c r="BK15" s="19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20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I15" s="6"/>
      <c r="DJ15" s="2"/>
      <c r="DL15" s="8"/>
      <c r="DN15" s="8"/>
      <c r="DO15" s="8"/>
      <c r="DP15" s="8"/>
      <c r="DQ15" s="8"/>
      <c r="DR15" s="8"/>
      <c r="DS15" s="14"/>
      <c r="DT15" s="42"/>
      <c r="DU15" s="42"/>
      <c r="DV15" s="42"/>
      <c r="DW15" s="42"/>
      <c r="DX15" s="42"/>
      <c r="DY15" s="42"/>
      <c r="DZ15" s="42"/>
      <c r="EA15" s="14"/>
      <c r="EB15" s="14"/>
      <c r="EC15" s="14"/>
    </row>
    <row r="16" spans="1:204" x14ac:dyDescent="0.25">
      <c r="A16" t="s">
        <v>21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11"/>
      <c r="T16" s="11"/>
      <c r="U16" s="11"/>
      <c r="V16" s="1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6"/>
      <c r="BC16" s="16"/>
      <c r="BD16" s="16"/>
      <c r="BE16" s="16"/>
      <c r="BF16" s="16"/>
      <c r="BG16" s="19"/>
      <c r="BH16" s="19"/>
      <c r="BI16" s="19"/>
      <c r="BJ16" s="19"/>
      <c r="BK16" s="19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I16" s="6"/>
      <c r="DJ16" s="2"/>
      <c r="DL16" s="8"/>
      <c r="DN16" s="8"/>
      <c r="DO16" s="8"/>
      <c r="DP16" s="8"/>
      <c r="DQ16" s="8"/>
      <c r="DR16" s="8"/>
      <c r="DS16" s="14"/>
      <c r="DT16" s="42"/>
      <c r="DU16" s="42"/>
      <c r="DV16" s="42"/>
      <c r="DW16" s="42"/>
      <c r="DX16" s="42"/>
      <c r="DY16" s="42"/>
      <c r="DZ16" s="42"/>
      <c r="EA16" s="14"/>
      <c r="EB16" s="14"/>
      <c r="EC16" s="14"/>
    </row>
    <row r="17" spans="1:133" ht="45" x14ac:dyDescent="0.25">
      <c r="A17" t="s">
        <v>22</v>
      </c>
      <c r="B17" s="206" t="s">
        <v>47</v>
      </c>
      <c r="C17" s="97" t="s">
        <v>16</v>
      </c>
      <c r="D17" s="207" t="s">
        <v>48</v>
      </c>
      <c r="E17" s="97" t="s">
        <v>16</v>
      </c>
      <c r="F17" s="207" t="s">
        <v>49</v>
      </c>
      <c r="G17" s="97" t="s">
        <v>16</v>
      </c>
      <c r="H17" s="208"/>
      <c r="I17" s="206" t="s">
        <v>31</v>
      </c>
      <c r="J17" s="206" t="s">
        <v>33</v>
      </c>
      <c r="K17" s="213"/>
      <c r="L17" s="272"/>
      <c r="M17" s="272"/>
      <c r="N17" s="272"/>
      <c r="O17" s="272"/>
      <c r="P17" s="272"/>
      <c r="Q17" s="272"/>
      <c r="R17" s="222"/>
      <c r="S17" s="149"/>
      <c r="T17" s="222"/>
      <c r="U17" s="222"/>
      <c r="V17" s="222"/>
      <c r="W17" s="149"/>
      <c r="X17" s="206" t="s">
        <v>61</v>
      </c>
      <c r="Y17" s="97" t="s">
        <v>16</v>
      </c>
      <c r="Z17" s="207" t="s">
        <v>62</v>
      </c>
      <c r="AA17" s="97" t="s">
        <v>16</v>
      </c>
      <c r="AB17" s="207" t="s">
        <v>63</v>
      </c>
      <c r="AC17" s="97" t="s">
        <v>16</v>
      </c>
      <c r="AD17" s="207" t="s">
        <v>64</v>
      </c>
      <c r="AE17" s="97" t="s">
        <v>16</v>
      </c>
      <c r="AF17" s="207" t="s">
        <v>65</v>
      </c>
      <c r="AG17" s="97" t="s">
        <v>16</v>
      </c>
      <c r="AH17" s="222"/>
      <c r="AI17" s="222"/>
      <c r="AJ17" s="149"/>
      <c r="AK17" s="206" t="s">
        <v>66</v>
      </c>
      <c r="AL17" s="97" t="s">
        <v>16</v>
      </c>
      <c r="AM17" s="207" t="s">
        <v>67</v>
      </c>
      <c r="AN17" s="97" t="s">
        <v>16</v>
      </c>
      <c r="AO17" s="207" t="s">
        <v>68</v>
      </c>
      <c r="AP17" s="97" t="s">
        <v>16</v>
      </c>
      <c r="AQ17" s="207" t="s">
        <v>69</v>
      </c>
      <c r="AR17" s="97" t="s">
        <v>16</v>
      </c>
      <c r="AS17" s="207" t="s">
        <v>70</v>
      </c>
      <c r="AT17" s="97" t="s">
        <v>16</v>
      </c>
      <c r="AU17" s="222"/>
      <c r="AV17" s="149"/>
      <c r="AW17" s="234"/>
      <c r="AX17" s="149"/>
      <c r="AY17" s="234"/>
      <c r="AZ17" s="149"/>
      <c r="BA17" s="222"/>
      <c r="BB17" s="17"/>
      <c r="BC17" s="17"/>
      <c r="BD17" s="18"/>
      <c r="BE17" s="63"/>
      <c r="BF17" s="18"/>
      <c r="BG17" s="64"/>
      <c r="BH17" s="18"/>
      <c r="BI17" s="64"/>
      <c r="BJ17" s="18"/>
      <c r="BK17" s="17"/>
      <c r="BL17" s="63"/>
      <c r="BM17" s="63"/>
      <c r="BN17" s="17"/>
      <c r="BO17" s="65"/>
      <c r="BP17" s="18"/>
      <c r="BQ17" s="64"/>
      <c r="BR17" s="18"/>
      <c r="BS17" s="64"/>
      <c r="BT17" s="18"/>
      <c r="BU17" s="17"/>
      <c r="BV17" s="63"/>
      <c r="BW17" s="63"/>
      <c r="BX17" s="16"/>
      <c r="BY17" s="65"/>
      <c r="BZ17" s="18"/>
      <c r="CA17" s="64"/>
      <c r="CB17" s="18"/>
      <c r="CC17" s="64"/>
      <c r="CD17" s="18"/>
      <c r="CE17" s="17"/>
      <c r="CF17" s="63"/>
      <c r="CG17" s="63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I17" s="6"/>
      <c r="DJ17" s="2"/>
      <c r="DL17" s="8"/>
      <c r="DN17" s="8"/>
      <c r="DO17" s="8"/>
      <c r="DP17" s="8"/>
      <c r="DQ17" s="8"/>
      <c r="DR17" s="8"/>
      <c r="DS17" s="14"/>
      <c r="DT17" s="42"/>
      <c r="DU17" s="42"/>
      <c r="DV17" s="42"/>
      <c r="DW17" s="42"/>
      <c r="DX17" s="42"/>
      <c r="DY17" s="42"/>
      <c r="DZ17" s="42"/>
      <c r="EA17" s="14"/>
      <c r="EB17" s="14"/>
      <c r="EC17" s="14"/>
    </row>
    <row r="18" spans="1:133" x14ac:dyDescent="0.25">
      <c r="B18" s="191">
        <v>2.4300000000000002</v>
      </c>
      <c r="C18" s="99">
        <f>B18/AVERAGE(P7,Q7)</f>
        <v>6.0260384376937384E-2</v>
      </c>
      <c r="D18" s="191">
        <v>2.21</v>
      </c>
      <c r="E18" s="99">
        <f>D18/AVERAGE(P7,Q7)</f>
        <v>5.4804711717296957E-2</v>
      </c>
      <c r="F18" s="191">
        <v>1.91</v>
      </c>
      <c r="G18" s="99">
        <f>F18/AVERAGE(P7,Q7)</f>
        <v>4.7365158090514566E-2</v>
      </c>
      <c r="H18" s="210"/>
      <c r="I18" s="214">
        <f>AVERAGE(B18,D18,F18)</f>
        <v>2.1833333333333336</v>
      </c>
      <c r="J18" s="69">
        <f>STDEV(B18,D18,F18)/I18</f>
        <v>0.11955280580428641</v>
      </c>
      <c r="K18" s="213"/>
      <c r="L18" s="273"/>
      <c r="M18" s="273"/>
      <c r="N18" s="273"/>
      <c r="O18" s="273"/>
      <c r="P18" s="273"/>
      <c r="Q18" s="273"/>
      <c r="R18" s="213"/>
      <c r="S18" s="11"/>
      <c r="T18" s="73"/>
      <c r="U18" s="73"/>
      <c r="V18" s="73"/>
      <c r="W18" s="22"/>
      <c r="X18" s="209">
        <v>1.73</v>
      </c>
      <c r="Y18" s="99">
        <f>X18/AVERAGE(P7,Q7)</f>
        <v>4.2901425914445131E-2</v>
      </c>
      <c r="Z18" s="191">
        <v>2.2799999999999998</v>
      </c>
      <c r="AA18" s="99">
        <f>Z18/AVERAGE(R7,S7)</f>
        <v>5.7007125890736331E-2</v>
      </c>
      <c r="AB18" s="191">
        <v>3.09</v>
      </c>
      <c r="AC18" s="99">
        <f>AB18/AVERAGE(R7,Q7)</f>
        <v>7.6846555583188259E-2</v>
      </c>
      <c r="AD18" s="191">
        <v>1.7</v>
      </c>
      <c r="AE18" s="99">
        <f>AD18/AVERAGE(R7,Q7)</f>
        <v>4.2278040288485447E-2</v>
      </c>
      <c r="AF18" s="191">
        <v>1.41</v>
      </c>
      <c r="AG18" s="99">
        <f>AF18/AVERAGE(R7,Q7)</f>
        <v>3.5065904003979104E-2</v>
      </c>
      <c r="AH18" s="22"/>
      <c r="AI18" s="73"/>
      <c r="AJ18" s="233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227"/>
      <c r="AV18" s="224"/>
      <c r="AW18" s="22"/>
      <c r="AX18" s="224"/>
      <c r="AY18" s="22"/>
      <c r="AZ18" s="224"/>
      <c r="BA18" s="224"/>
      <c r="BB18" s="16"/>
      <c r="BC18" s="38"/>
      <c r="BD18" s="20"/>
      <c r="BE18" s="43"/>
      <c r="BF18" s="23"/>
      <c r="BG18" s="16"/>
      <c r="BH18" s="23"/>
      <c r="BI18" s="16"/>
      <c r="BJ18" s="23"/>
      <c r="BK18" s="23"/>
      <c r="BL18" s="16"/>
      <c r="BM18" s="38"/>
      <c r="BN18" s="16"/>
      <c r="BO18" s="43"/>
      <c r="BP18" s="23"/>
      <c r="BQ18" s="16"/>
      <c r="BR18" s="23"/>
      <c r="BS18" s="16"/>
      <c r="BT18" s="23"/>
      <c r="BU18" s="23"/>
      <c r="BV18" s="16"/>
      <c r="BW18" s="38"/>
      <c r="BX18" s="20"/>
      <c r="BY18" s="43"/>
      <c r="BZ18" s="23"/>
      <c r="CA18" s="16"/>
      <c r="CB18" s="23"/>
      <c r="CC18" s="16"/>
      <c r="CD18" s="23"/>
      <c r="CE18" s="23"/>
      <c r="CF18" s="16"/>
      <c r="CG18" s="38"/>
      <c r="CR18" s="2"/>
      <c r="DI18" s="6"/>
      <c r="DJ18" s="2"/>
      <c r="DL18" s="8"/>
      <c r="DN18" s="8"/>
      <c r="DO18" s="8"/>
      <c r="DP18" s="8"/>
      <c r="DQ18" s="8"/>
      <c r="DR18" s="8"/>
      <c r="DS18" s="14"/>
      <c r="DT18" s="42"/>
      <c r="DU18" s="42"/>
      <c r="DV18" s="42"/>
      <c r="DW18" s="42"/>
      <c r="DX18" s="42"/>
      <c r="DY18" s="42"/>
      <c r="DZ18" s="42"/>
      <c r="EA18" s="14"/>
      <c r="EB18" s="14"/>
      <c r="EC18" s="14"/>
    </row>
    <row r="19" spans="1:133" x14ac:dyDescent="0.25">
      <c r="B19" s="191">
        <v>40.31</v>
      </c>
      <c r="C19" s="69">
        <f>B19/AVERAGE(P8,Q8)</f>
        <v>0.88700627131697662</v>
      </c>
      <c r="D19" s="191">
        <v>39.57</v>
      </c>
      <c r="E19" s="69">
        <f>D19/AVERAGE(P8,Q8)</f>
        <v>0.87072285179887776</v>
      </c>
      <c r="F19" s="191">
        <v>39.86</v>
      </c>
      <c r="G19" s="69">
        <f>F19/AVERAGE(P8,Q8)</f>
        <v>0.87710419188029487</v>
      </c>
      <c r="H19" s="211"/>
      <c r="I19" s="214">
        <f>AVERAGE(B19,D19,F19)</f>
        <v>39.913333333333334</v>
      </c>
      <c r="J19" s="69">
        <f>STDEV(B19,D19,F19)/I19</f>
        <v>9.3420345360314353E-3</v>
      </c>
      <c r="K19" s="11"/>
      <c r="L19" s="273"/>
      <c r="M19" s="273"/>
      <c r="N19" s="273"/>
      <c r="O19" s="273"/>
      <c r="P19" s="273"/>
      <c r="Q19" s="273"/>
      <c r="R19" s="11"/>
      <c r="S19" s="11"/>
      <c r="T19" s="73"/>
      <c r="U19" s="73"/>
      <c r="V19" s="73"/>
      <c r="W19" s="22"/>
      <c r="X19" s="209">
        <v>29.75</v>
      </c>
      <c r="Y19" s="70">
        <f>X19/AVERAGE(P8,Q8)</f>
        <v>0.65463747386951254</v>
      </c>
      <c r="Z19" s="191">
        <v>42.58</v>
      </c>
      <c r="AA19" s="69">
        <f>Z19/AVERAGE(P8,Q8)</f>
        <v>0.93695676091979307</v>
      </c>
      <c r="AB19" s="191">
        <v>74.52</v>
      </c>
      <c r="AC19" s="99">
        <f>AB19/AVERAGE(R8,Q8)</f>
        <v>1.6311699682609171</v>
      </c>
      <c r="AD19" s="191">
        <v>39.5</v>
      </c>
      <c r="AE19" s="69">
        <f>AD19/AVERAGE(R8,Q8)</f>
        <v>0.86461639487796871</v>
      </c>
      <c r="AF19" s="191">
        <v>17.53</v>
      </c>
      <c r="AG19" s="99">
        <f>AF19/AVERAGE(R8,Q8)</f>
        <v>0.38371456714457702</v>
      </c>
      <c r="AH19" s="22"/>
      <c r="AI19" s="224"/>
      <c r="AJ19" s="233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227"/>
      <c r="AV19" s="73"/>
      <c r="AW19" s="22"/>
      <c r="AX19" s="73"/>
      <c r="AY19" s="22"/>
      <c r="AZ19" s="73"/>
      <c r="BA19" s="73"/>
      <c r="BB19" s="16"/>
      <c r="BC19" s="38"/>
      <c r="BD19" s="20"/>
      <c r="BE19" s="43"/>
      <c r="BF19" s="38"/>
      <c r="BG19" s="16"/>
      <c r="BH19" s="38"/>
      <c r="BI19" s="16"/>
      <c r="BJ19" s="38"/>
      <c r="BK19" s="38"/>
      <c r="BL19" s="16"/>
      <c r="BM19" s="38"/>
      <c r="BN19" s="16"/>
      <c r="BO19" s="43"/>
      <c r="BP19" s="23"/>
      <c r="BQ19" s="16"/>
      <c r="BR19" s="23"/>
      <c r="BS19" s="16"/>
      <c r="BT19" s="23"/>
      <c r="BU19" s="38"/>
      <c r="BV19" s="16"/>
      <c r="BW19" s="38"/>
      <c r="BX19" s="20"/>
      <c r="BY19" s="43"/>
      <c r="BZ19" s="23"/>
      <c r="CA19" s="16"/>
      <c r="CB19" s="23"/>
      <c r="CC19" s="16"/>
      <c r="CD19" s="23"/>
      <c r="CE19" s="38"/>
      <c r="CF19" s="16"/>
      <c r="CG19" s="38"/>
      <c r="DG19" s="10"/>
      <c r="DH19" s="10"/>
      <c r="DI19" s="10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</row>
    <row r="20" spans="1:133" x14ac:dyDescent="0.25">
      <c r="A20" t="s">
        <v>0</v>
      </c>
      <c r="B20" s="191">
        <v>27.22</v>
      </c>
      <c r="C20" s="69">
        <f>B20/P9</f>
        <v>2.3961267605633805</v>
      </c>
      <c r="D20" s="191">
        <v>20.51</v>
      </c>
      <c r="E20" s="69">
        <f>D20/P9</f>
        <v>1.8054577464788735</v>
      </c>
      <c r="F20" s="191">
        <v>30.74</v>
      </c>
      <c r="G20" s="69">
        <f>F20/AVERAGE(R9)</f>
        <v>2.5552784704904408</v>
      </c>
      <c r="H20" s="211"/>
      <c r="I20" s="214">
        <f>AVERAGE(B20,D20,F20)</f>
        <v>26.156666666666666</v>
      </c>
      <c r="J20" s="69">
        <f>STDEV(B20,D20,F20)/I20</f>
        <v>0.19869631343076807</v>
      </c>
      <c r="K20" s="11"/>
      <c r="L20" s="273"/>
      <c r="M20" s="273"/>
      <c r="N20" s="273"/>
      <c r="O20" s="273"/>
      <c r="P20" s="273"/>
      <c r="Q20" s="273"/>
      <c r="R20" s="11"/>
      <c r="S20" s="11"/>
      <c r="T20" s="73"/>
      <c r="U20" s="73"/>
      <c r="V20" s="73"/>
      <c r="W20" s="22"/>
      <c r="X20" s="209"/>
      <c r="Y20" s="191"/>
      <c r="Z20" s="191"/>
      <c r="AA20" s="191"/>
      <c r="AB20" s="191"/>
      <c r="AC20" s="191"/>
      <c r="AD20" s="191"/>
      <c r="AE20" s="191"/>
      <c r="AF20" s="191"/>
      <c r="AG20" s="191"/>
      <c r="AH20" s="22"/>
      <c r="AI20" s="225"/>
      <c r="AJ20" s="227"/>
      <c r="AK20" s="209">
        <v>10.98</v>
      </c>
      <c r="AL20" s="191">
        <f>AK20/0.5*10</f>
        <v>219.60000000000002</v>
      </c>
      <c r="AM20" s="191">
        <v>31.26</v>
      </c>
      <c r="AN20" s="191">
        <f>AM20/0.5*10</f>
        <v>625.20000000000005</v>
      </c>
      <c r="AO20" s="191">
        <v>24.17</v>
      </c>
      <c r="AP20" s="191">
        <f>AO20/0.5*20</f>
        <v>966.80000000000007</v>
      </c>
      <c r="AQ20" s="191">
        <v>41.59</v>
      </c>
      <c r="AR20" s="191">
        <f>AQ20/0.5*20</f>
        <v>1663.6000000000001</v>
      </c>
      <c r="AS20" s="191">
        <v>4.38</v>
      </c>
      <c r="AT20" s="191">
        <f>AS20/0.5*100</f>
        <v>876</v>
      </c>
      <c r="AU20" s="225"/>
      <c r="AV20" s="225"/>
      <c r="AW20" s="225"/>
      <c r="AX20" s="225"/>
      <c r="AY20" s="225"/>
      <c r="AZ20" s="225"/>
      <c r="BA20" s="225"/>
      <c r="BB20" s="16"/>
      <c r="BC20" s="45"/>
      <c r="BD20" s="19"/>
      <c r="BE20" s="43"/>
      <c r="BF20" s="16"/>
      <c r="BG20" s="16"/>
      <c r="BH20" s="16"/>
      <c r="BI20" s="16"/>
      <c r="BJ20" s="16"/>
      <c r="BK20" s="38"/>
      <c r="BL20" s="16"/>
      <c r="BM20" s="38"/>
      <c r="BN20" s="16"/>
      <c r="BO20" s="43"/>
      <c r="BP20" s="16"/>
      <c r="BQ20" s="16"/>
      <c r="BR20" s="16"/>
      <c r="BS20" s="16"/>
      <c r="BT20" s="16"/>
      <c r="BU20" s="38"/>
      <c r="BV20" s="16"/>
      <c r="BW20" s="38"/>
      <c r="BX20" s="20"/>
      <c r="BY20" s="43"/>
      <c r="BZ20" s="16"/>
      <c r="CA20" s="16"/>
      <c r="CB20" s="16"/>
      <c r="CC20" s="16"/>
      <c r="CD20" s="16"/>
      <c r="CE20" s="38"/>
      <c r="CF20" s="16"/>
      <c r="CG20" s="38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</row>
    <row r="21" spans="1:133" x14ac:dyDescent="0.25">
      <c r="B21" s="191">
        <v>51.39</v>
      </c>
      <c r="C21" s="69">
        <f>B21/P10</f>
        <v>2.2829853398489557</v>
      </c>
      <c r="D21" s="191">
        <v>37.880000000000003</v>
      </c>
      <c r="E21" s="69">
        <f>D21/P10</f>
        <v>1.682807641048423</v>
      </c>
      <c r="F21" s="191">
        <v>55.03</v>
      </c>
      <c r="G21" s="69">
        <f>F21/AVERAGE(R10)</f>
        <v>2.3699397071490096</v>
      </c>
      <c r="H21" s="211"/>
      <c r="I21" s="214">
        <f>AVERAGE(B21,D21,F21)</f>
        <v>48.1</v>
      </c>
      <c r="J21" s="69">
        <f>STDEV(B21,D21,F21)/I21</f>
        <v>0.18785794221924051</v>
      </c>
      <c r="K21" s="11"/>
      <c r="L21" s="273"/>
      <c r="M21" s="273"/>
      <c r="N21" s="273"/>
      <c r="O21" s="273"/>
      <c r="P21" s="273"/>
      <c r="Q21" s="273"/>
      <c r="R21" s="11"/>
      <c r="S21" s="11"/>
      <c r="T21" s="73"/>
      <c r="U21" s="73"/>
      <c r="V21" s="73"/>
      <c r="W21" s="22"/>
      <c r="X21" s="209"/>
      <c r="Y21" s="191"/>
      <c r="Z21" s="191"/>
      <c r="AA21" s="191"/>
      <c r="AB21" s="191"/>
      <c r="AC21" s="191"/>
      <c r="AD21" s="191"/>
      <c r="AE21" s="191"/>
      <c r="AF21" s="191"/>
      <c r="AG21" s="191"/>
      <c r="AH21" s="22"/>
      <c r="AI21" s="225"/>
      <c r="AJ21" s="227"/>
      <c r="AK21" s="209">
        <v>7.22</v>
      </c>
      <c r="AL21" s="191">
        <f>AK21/0.5*10</f>
        <v>144.4</v>
      </c>
      <c r="AM21" s="191">
        <v>29.44</v>
      </c>
      <c r="AN21" s="191">
        <f>AM21/0.5*10</f>
        <v>588.80000000000007</v>
      </c>
      <c r="AO21" s="191">
        <v>31.79</v>
      </c>
      <c r="AP21" s="191">
        <f>AO21/0.5*20</f>
        <v>1271.5999999999999</v>
      </c>
      <c r="AQ21" s="191">
        <v>48.15</v>
      </c>
      <c r="AR21" s="191">
        <f>AQ21/0.5*20</f>
        <v>1926</v>
      </c>
      <c r="AS21" s="191">
        <v>7.48</v>
      </c>
      <c r="AT21" s="191">
        <f>AS21/0.5*100</f>
        <v>1496</v>
      </c>
      <c r="AU21" s="225"/>
      <c r="AV21" s="225"/>
      <c r="AW21" s="225"/>
      <c r="AX21" s="225"/>
      <c r="AY21" s="225"/>
      <c r="AZ21" s="225"/>
      <c r="BA21" s="225"/>
      <c r="BB21" s="16"/>
      <c r="BC21" s="45"/>
      <c r="BD21" s="19"/>
      <c r="BE21" s="43"/>
      <c r="BF21" s="16"/>
      <c r="BG21" s="16"/>
      <c r="BH21" s="16"/>
      <c r="BI21" s="16"/>
      <c r="BJ21" s="16"/>
      <c r="BK21" s="38"/>
      <c r="BL21" s="16"/>
      <c r="BM21" s="38"/>
      <c r="BN21" s="16"/>
      <c r="BO21" s="43"/>
      <c r="BP21" s="16"/>
      <c r="BQ21" s="16"/>
      <c r="BR21" s="16"/>
      <c r="BS21" s="16"/>
      <c r="BT21" s="16"/>
      <c r="BU21" s="38"/>
      <c r="BV21" s="16"/>
      <c r="BW21" s="38"/>
      <c r="BX21" s="20"/>
      <c r="BY21" s="43"/>
      <c r="BZ21" s="16"/>
      <c r="CA21" s="16"/>
      <c r="CB21" s="16"/>
      <c r="CC21" s="16"/>
      <c r="CD21" s="16"/>
      <c r="CE21" s="38"/>
      <c r="CF21" s="16"/>
      <c r="CG21" s="38"/>
      <c r="DG21" s="2"/>
      <c r="DH21" s="2"/>
      <c r="DI21" s="2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</row>
    <row r="22" spans="1:133" x14ac:dyDescent="0.25">
      <c r="A22" t="s">
        <v>20</v>
      </c>
      <c r="B22" s="212">
        <f>B20+B21</f>
        <v>78.61</v>
      </c>
      <c r="C22" s="69">
        <f>B22/P11</f>
        <v>2.320932979037496</v>
      </c>
      <c r="D22" s="212">
        <f>D20+D21</f>
        <v>58.39</v>
      </c>
      <c r="E22" s="69">
        <f>D22/P11</f>
        <v>1.7239444936521993</v>
      </c>
      <c r="F22" s="212">
        <f>F20+F21</f>
        <v>85.77</v>
      </c>
      <c r="G22" s="69">
        <f>F22/AVERAGE(R11)</f>
        <v>2.4331914893617022</v>
      </c>
      <c r="H22" s="211"/>
      <c r="I22" s="214">
        <f>AVERAGE(B22,D22,F22)</f>
        <v>74.256666666666661</v>
      </c>
      <c r="J22" s="69">
        <f>STDEV(B22,D22,F22)/I22</f>
        <v>0.19122375310478404</v>
      </c>
      <c r="K22" s="11"/>
      <c r="L22" s="273"/>
      <c r="M22" s="273"/>
      <c r="N22" s="273"/>
      <c r="O22" s="273"/>
      <c r="P22" s="273"/>
      <c r="Q22" s="273"/>
      <c r="R22" s="11"/>
      <c r="S22" s="11"/>
      <c r="T22" s="73"/>
      <c r="U22" s="73"/>
      <c r="V22" s="73"/>
      <c r="W22" s="22"/>
      <c r="X22" s="212"/>
      <c r="Y22" s="191"/>
      <c r="Z22" s="212"/>
      <c r="AA22" s="191"/>
      <c r="AB22" s="191"/>
      <c r="AC22" s="191"/>
      <c r="AD22" s="191"/>
      <c r="AE22" s="191"/>
      <c r="AF22" s="191"/>
      <c r="AG22" s="191"/>
      <c r="AH22" s="22"/>
      <c r="AI22" s="225"/>
      <c r="AJ22" s="227"/>
      <c r="AK22" s="212">
        <f>SUM(AK21,AK20)</f>
        <v>18.2</v>
      </c>
      <c r="AL22" s="191">
        <f>AK22/0.5*10</f>
        <v>364</v>
      </c>
      <c r="AM22" s="212">
        <f>SUM(AM21,AM20)</f>
        <v>60.7</v>
      </c>
      <c r="AN22" s="191">
        <f>AM22/0.5*10</f>
        <v>1214</v>
      </c>
      <c r="AO22" s="212">
        <f>SUM(AO21,AO20)</f>
        <v>55.96</v>
      </c>
      <c r="AP22" s="191">
        <f>AO22/0.5*20</f>
        <v>2238.4</v>
      </c>
      <c r="AQ22" s="212">
        <f>SUM(AQ21,AQ20)</f>
        <v>89.740000000000009</v>
      </c>
      <c r="AR22" s="191">
        <f>AQ22/0.5*20</f>
        <v>3589.6000000000004</v>
      </c>
      <c r="AS22" s="212">
        <f>SUM(AS21,AS20)</f>
        <v>11.86</v>
      </c>
      <c r="AT22" s="191">
        <f>AS22/0.5*100</f>
        <v>2372</v>
      </c>
      <c r="AU22" s="21" t="s">
        <v>78</v>
      </c>
      <c r="AV22" s="225"/>
      <c r="AW22" s="225"/>
      <c r="AX22" s="225"/>
      <c r="AY22" s="225"/>
      <c r="AZ22" s="225"/>
      <c r="BA22" s="225"/>
      <c r="BB22" s="16"/>
      <c r="BC22" s="45"/>
      <c r="BD22" s="19"/>
      <c r="BE22" s="19"/>
      <c r="BF22" s="16"/>
      <c r="BG22" s="19"/>
      <c r="BH22" s="16"/>
      <c r="BI22" s="19"/>
      <c r="BJ22" s="16"/>
      <c r="BK22" s="38"/>
      <c r="BL22" s="16"/>
      <c r="BM22" s="38"/>
      <c r="BN22" s="19"/>
      <c r="BO22" s="19"/>
      <c r="BP22" s="16"/>
      <c r="BQ22" s="19"/>
      <c r="BR22" s="16"/>
      <c r="BS22" s="19"/>
      <c r="BT22" s="16"/>
      <c r="BU22" s="38"/>
      <c r="BV22" s="16"/>
      <c r="BW22" s="38"/>
      <c r="BX22" s="20"/>
      <c r="BY22" s="19"/>
      <c r="BZ22" s="16"/>
      <c r="CA22" s="19"/>
      <c r="CB22" s="16"/>
      <c r="CC22" s="19"/>
      <c r="CD22" s="16"/>
      <c r="CE22" s="38"/>
      <c r="CF22" s="16"/>
      <c r="CG22" s="38"/>
      <c r="DG22" s="2"/>
      <c r="DH22" s="2"/>
      <c r="DI22" s="2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</row>
    <row r="23" spans="1:133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K23" s="11"/>
      <c r="L23" s="270"/>
      <c r="M23" s="270"/>
      <c r="N23" s="270"/>
      <c r="O23" s="270"/>
      <c r="P23" s="270"/>
      <c r="Q23" s="270"/>
      <c r="R23" s="213"/>
      <c r="S23" s="213"/>
      <c r="T23" s="270"/>
      <c r="U23" s="270"/>
      <c r="V23" s="270"/>
      <c r="W23" s="269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1"/>
      <c r="AI23" s="21"/>
      <c r="AJ23" s="233"/>
      <c r="AK23" s="31"/>
      <c r="AL23" s="70">
        <f>AL22/AK24</f>
        <v>0.36399999999999999</v>
      </c>
      <c r="AM23" s="31"/>
      <c r="AN23" s="69">
        <f>AN22/AM24</f>
        <v>0.40466666666666667</v>
      </c>
      <c r="AO23" s="31"/>
      <c r="AP23" s="69">
        <f>AP22/AO24</f>
        <v>0.55959999999999999</v>
      </c>
      <c r="AQ23" s="31"/>
      <c r="AR23" s="69">
        <f>AR22/AQ24</f>
        <v>0.59826666666666672</v>
      </c>
      <c r="AS23" s="31"/>
      <c r="AT23" s="70">
        <f>AT22/AS24</f>
        <v>0.29649999999999999</v>
      </c>
      <c r="AU23" s="235">
        <f>AVERAGE(AL23,AN23,AP23,AR23,AT23)</f>
        <v>0.44460666666666671</v>
      </c>
      <c r="AV23" s="73"/>
      <c r="AW23" s="21"/>
      <c r="AX23" s="21"/>
      <c r="AY23" s="21"/>
      <c r="AZ23" s="21"/>
      <c r="BA23" s="21"/>
      <c r="BB23" s="21"/>
      <c r="BC23" s="21"/>
      <c r="BD23" s="20"/>
      <c r="BE23" s="66"/>
      <c r="BF23" s="66"/>
      <c r="BG23" s="66"/>
      <c r="BH23" s="66"/>
      <c r="BI23" s="66"/>
      <c r="BJ23" s="66"/>
      <c r="BK23" s="21"/>
      <c r="BL23" s="66"/>
      <c r="BM23" s="66"/>
      <c r="BN23" s="21"/>
      <c r="BO23" s="66"/>
      <c r="BP23" s="66"/>
      <c r="BQ23" s="66"/>
      <c r="BR23" s="66"/>
      <c r="BS23" s="66"/>
      <c r="BT23" s="66"/>
      <c r="BU23" s="21"/>
      <c r="BV23" s="66"/>
      <c r="BW23" s="66"/>
      <c r="BX23" s="16"/>
      <c r="BY23" s="66"/>
      <c r="BZ23" s="66"/>
      <c r="CA23" s="66"/>
      <c r="CB23" s="66"/>
      <c r="CC23" s="66"/>
      <c r="CD23" s="66"/>
      <c r="CE23" s="21"/>
      <c r="CF23" s="66"/>
      <c r="CG23" s="66"/>
    </row>
    <row r="24" spans="1:133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K24" s="11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69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2"/>
      <c r="AI24" s="22"/>
      <c r="AJ24" s="44"/>
      <c r="AK24" s="32">
        <v>1000</v>
      </c>
      <c r="AL24" s="32"/>
      <c r="AM24" s="32">
        <v>3000</v>
      </c>
      <c r="AN24" s="32"/>
      <c r="AO24" s="32">
        <v>4000</v>
      </c>
      <c r="AP24" s="32"/>
      <c r="AQ24" s="32">
        <v>6000</v>
      </c>
      <c r="AR24" s="32"/>
      <c r="AS24" s="32">
        <v>8000</v>
      </c>
      <c r="AT24" s="32"/>
      <c r="AU24" s="22"/>
      <c r="AV24" s="22"/>
      <c r="AW24" s="22"/>
      <c r="AX24" s="22"/>
      <c r="AY24" s="22"/>
      <c r="AZ24" s="22"/>
      <c r="BA24" s="22"/>
      <c r="BB24" s="22"/>
      <c r="BC24" s="22"/>
      <c r="BD24" s="44"/>
      <c r="BE24" s="67"/>
      <c r="BF24" s="67"/>
      <c r="BG24" s="67"/>
      <c r="BH24" s="67"/>
      <c r="BI24" s="67"/>
      <c r="BJ24" s="67"/>
      <c r="BK24" s="22"/>
      <c r="BL24" s="67"/>
      <c r="BM24" s="67"/>
      <c r="BN24" s="22"/>
      <c r="BO24" s="67"/>
      <c r="BP24" s="67"/>
      <c r="BQ24" s="67"/>
      <c r="BR24" s="67"/>
      <c r="BS24" s="67"/>
      <c r="BT24" s="67"/>
      <c r="BU24" s="22"/>
      <c r="BV24" s="67"/>
      <c r="BW24" s="67"/>
      <c r="BX24" s="19"/>
      <c r="BY24" s="67"/>
      <c r="BZ24" s="67"/>
      <c r="CA24" s="67"/>
      <c r="CB24" s="67"/>
      <c r="CC24" s="67"/>
      <c r="CD24" s="67"/>
      <c r="CE24" s="22"/>
      <c r="CF24" s="67"/>
      <c r="CG24" s="67"/>
    </row>
    <row r="25" spans="1:133" x14ac:dyDescent="0.25">
      <c r="A25" t="s">
        <v>2</v>
      </c>
      <c r="B25" s="69">
        <f>ABS(B22-B24)/B24</f>
        <v>0.96524999999999994</v>
      </c>
      <c r="C25" s="210"/>
      <c r="D25" s="69">
        <f>ABS(D22-D24)/D24</f>
        <v>0.45974999999999999</v>
      </c>
      <c r="E25" s="211"/>
      <c r="F25" s="69">
        <f>ABS(F22-F24)/F24</f>
        <v>1.14425</v>
      </c>
      <c r="G25" s="211"/>
      <c r="H25" s="211"/>
      <c r="I25" s="211"/>
      <c r="J25" s="211"/>
      <c r="K25" s="11"/>
      <c r="L25" s="224"/>
      <c r="M25" s="224"/>
      <c r="N25" s="224"/>
      <c r="O25" s="224"/>
      <c r="P25" s="224"/>
      <c r="Q25" s="224"/>
      <c r="R25" s="73"/>
      <c r="S25" s="73"/>
      <c r="T25" s="269"/>
      <c r="U25" s="269"/>
      <c r="V25" s="269"/>
      <c r="W25" s="269"/>
      <c r="X25" s="225"/>
      <c r="Y25" s="224"/>
      <c r="Z25" s="225"/>
      <c r="AA25" s="73"/>
      <c r="AB25" s="225"/>
      <c r="AC25" s="73"/>
      <c r="AD25" s="73"/>
      <c r="AE25" s="73"/>
      <c r="AF25" s="73"/>
      <c r="AG25" s="73"/>
      <c r="AH25" s="73"/>
      <c r="AI25" s="73"/>
      <c r="AJ25" s="22"/>
      <c r="AK25" s="70">
        <f>ABS(AL22-AK24)/AK24</f>
        <v>0.63600000000000001</v>
      </c>
      <c r="AL25" s="224"/>
      <c r="AM25" s="70">
        <f>ABS(AN22-AM24)/AM24</f>
        <v>0.59533333333333338</v>
      </c>
      <c r="AN25" s="73"/>
      <c r="AO25" s="70">
        <f>ABS(AP22-AO24)/AO24</f>
        <v>0.44039999999999996</v>
      </c>
      <c r="AP25" s="73"/>
      <c r="AQ25" s="70">
        <f>ABS(AR22-AQ24)/AQ24</f>
        <v>0.40173333333333328</v>
      </c>
      <c r="AR25" s="73"/>
      <c r="AS25" s="70">
        <f>ABS(AT22-AS24)/AS24</f>
        <v>0.70350000000000001</v>
      </c>
      <c r="AT25" s="22"/>
      <c r="AU25" s="235"/>
      <c r="AV25" s="235"/>
      <c r="AW25" s="235"/>
      <c r="AX25" s="235"/>
      <c r="AY25" s="223"/>
      <c r="AZ25" s="73"/>
      <c r="BA25" s="73"/>
      <c r="BB25" s="38"/>
      <c r="BC25" s="38"/>
      <c r="BD25" s="16"/>
      <c r="BE25" s="38"/>
      <c r="BF25" s="23"/>
      <c r="BG25" s="23"/>
      <c r="BH25" s="38"/>
      <c r="BI25" s="23"/>
      <c r="BJ25" s="38"/>
      <c r="BK25" s="38"/>
      <c r="BL25" s="38"/>
      <c r="BM25" s="38"/>
      <c r="BN25" s="20"/>
      <c r="BO25" s="23"/>
      <c r="BP25" s="23"/>
      <c r="BQ25" s="23"/>
      <c r="BR25" s="38"/>
      <c r="BS25" s="23"/>
      <c r="BT25" s="38"/>
      <c r="BU25" s="38"/>
      <c r="BV25" s="38"/>
      <c r="BW25" s="38"/>
      <c r="BX25" s="16"/>
      <c r="BY25" s="38"/>
      <c r="BZ25" s="23"/>
      <c r="CA25" s="38"/>
      <c r="CB25" s="38"/>
      <c r="CC25" s="23"/>
      <c r="CD25" s="38"/>
      <c r="CE25" s="38"/>
      <c r="CF25" s="38"/>
      <c r="CG25" s="38"/>
    </row>
    <row r="26" spans="1:133" x14ac:dyDescent="0.25">
      <c r="A26" t="s">
        <v>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75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75"/>
      <c r="AZ26" s="175"/>
      <c r="BA26" s="175"/>
      <c r="BB26" s="35"/>
      <c r="BC26" s="35"/>
      <c r="BD26" s="35"/>
    </row>
    <row r="27" spans="1:133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</row>
    <row r="28" spans="1:133" x14ac:dyDescent="0.25">
      <c r="A28" t="s">
        <v>26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</row>
    <row r="29" spans="1:133" x14ac:dyDescent="0.25">
      <c r="A29" t="s">
        <v>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133" x14ac:dyDescent="0.25">
      <c r="A30" t="str">
        <f>"-OR-"</f>
        <v>-OR-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</row>
    <row r="31" spans="1:133" x14ac:dyDescent="0.25">
      <c r="A31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1:133" x14ac:dyDescent="0.25">
      <c r="A32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</row>
    <row r="33" spans="1:53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</row>
    <row r="34" spans="1:53" x14ac:dyDescent="0.25">
      <c r="A34" t="s">
        <v>23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</row>
    <row r="35" spans="1:53" x14ac:dyDescent="0.25">
      <c r="A35" t="s">
        <v>18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</row>
    <row r="36" spans="1:53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</row>
    <row r="37" spans="1:53" x14ac:dyDescent="0.25">
      <c r="A37" t="s">
        <v>19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</row>
    <row r="38" spans="1:53" x14ac:dyDescent="0.25">
      <c r="A38" t="s">
        <v>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</row>
    <row r="39" spans="1:5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</row>
    <row r="40" spans="1:53" x14ac:dyDescent="0.25">
      <c r="A40" t="s">
        <v>14</v>
      </c>
    </row>
    <row r="41" spans="1:53" x14ac:dyDescent="0.25">
      <c r="A41" t="s">
        <v>4</v>
      </c>
    </row>
    <row r="43" spans="1:53" x14ac:dyDescent="0.25">
      <c r="A43" t="s">
        <v>27</v>
      </c>
    </row>
    <row r="44" spans="1:53" x14ac:dyDescent="0.25">
      <c r="A44" t="s">
        <v>28</v>
      </c>
    </row>
    <row r="45" spans="1:53" x14ac:dyDescent="0.25">
      <c r="A45" t="s">
        <v>29</v>
      </c>
    </row>
    <row r="46" spans="1:5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5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</sheetData>
  <pageMargins left="0.7" right="0.7" top="0.75" bottom="0.75" header="0.3" footer="0.3"/>
  <pageSetup orientation="portrait" r:id="rId1"/>
  <ignoredErrors>
    <ignoredError sqref="O11 AL11:AN11 AP11:AR11 AL22:AN22 AP22:AQ22 AR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T13"/>
  <sheetViews>
    <sheetView zoomScale="99" zoomScaleNormal="99" workbookViewId="0">
      <selection activeCell="H4" sqref="H4"/>
    </sheetView>
  </sheetViews>
  <sheetFormatPr defaultRowHeight="15" x14ac:dyDescent="0.25"/>
  <cols>
    <col min="1" max="1" width="15.28515625" customWidth="1"/>
    <col min="4" max="4" width="10.28515625" customWidth="1"/>
    <col min="10" max="10" width="12.5703125" customWidth="1"/>
    <col min="11" max="11" width="9.28515625" customWidth="1"/>
  </cols>
  <sheetData>
    <row r="1" spans="1:20" ht="47.25" customHeight="1" x14ac:dyDescent="0.25">
      <c r="A1" s="79" t="s">
        <v>92</v>
      </c>
      <c r="B1" s="82"/>
      <c r="C1" s="76"/>
      <c r="D1" s="76"/>
      <c r="E1" s="76"/>
      <c r="F1" s="76"/>
      <c r="G1" s="76"/>
      <c r="H1" s="76"/>
      <c r="I1" s="76"/>
      <c r="J1" s="80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77" t="s">
        <v>34</v>
      </c>
      <c r="C2" s="77" t="s">
        <v>35</v>
      </c>
      <c r="D2" s="77" t="s">
        <v>83</v>
      </c>
      <c r="E2" s="77" t="s">
        <v>42</v>
      </c>
      <c r="F2" s="77" t="s">
        <v>43</v>
      </c>
      <c r="G2" s="77" t="s">
        <v>44</v>
      </c>
      <c r="H2" s="77" t="s">
        <v>87</v>
      </c>
      <c r="I2" s="77" t="s">
        <v>41</v>
      </c>
      <c r="J2" s="78" t="s">
        <v>36</v>
      </c>
      <c r="K2" s="78" t="s">
        <v>37</v>
      </c>
      <c r="L2" s="78" t="s">
        <v>84</v>
      </c>
      <c r="M2" s="78" t="s">
        <v>85</v>
      </c>
      <c r="N2" s="78" t="s">
        <v>86</v>
      </c>
      <c r="O2" s="78" t="s">
        <v>38</v>
      </c>
      <c r="P2" s="78" t="s">
        <v>39</v>
      </c>
      <c r="Q2" s="78" t="s">
        <v>93</v>
      </c>
      <c r="R2" s="78" t="s">
        <v>94</v>
      </c>
      <c r="S2" s="78" t="s">
        <v>40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89">
        <v>1.1499999999999999</v>
      </c>
      <c r="C4" s="90">
        <v>0.98</v>
      </c>
      <c r="D4" s="90">
        <v>1.03</v>
      </c>
      <c r="E4" s="92">
        <v>1.1000000000000001</v>
      </c>
      <c r="F4" s="92">
        <v>1.04</v>
      </c>
      <c r="G4" s="92">
        <v>0.95</v>
      </c>
      <c r="H4" s="92">
        <v>1.04</v>
      </c>
      <c r="I4" s="92">
        <v>1.06</v>
      </c>
      <c r="J4" s="93">
        <v>1.03</v>
      </c>
      <c r="K4" s="93">
        <v>0.99</v>
      </c>
      <c r="L4" s="93">
        <v>1.06</v>
      </c>
      <c r="M4" s="93">
        <v>1.1299999999999999</v>
      </c>
      <c r="N4" s="93">
        <v>1.07</v>
      </c>
      <c r="O4" s="93">
        <v>1.1000000000000001</v>
      </c>
      <c r="P4" s="93">
        <v>1.08</v>
      </c>
      <c r="Q4" s="93">
        <v>1.03</v>
      </c>
      <c r="R4" s="93">
        <v>1.1100000000000001</v>
      </c>
      <c r="S4" s="93">
        <v>1.1100000000000001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ht="25.5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 t="s">
        <v>82</v>
      </c>
      <c r="K6" s="83" t="s">
        <v>82</v>
      </c>
      <c r="L6" s="83" t="s">
        <v>82</v>
      </c>
      <c r="M6" s="83" t="s">
        <v>82</v>
      </c>
      <c r="N6" s="83" t="s">
        <v>82</v>
      </c>
      <c r="O6" s="83" t="s">
        <v>82</v>
      </c>
      <c r="P6" s="83" t="s">
        <v>82</v>
      </c>
      <c r="Q6" s="83" t="s">
        <v>82</v>
      </c>
      <c r="R6" s="83" t="s">
        <v>82</v>
      </c>
      <c r="S6" s="83" t="s">
        <v>82</v>
      </c>
      <c r="T6" s="86"/>
    </row>
    <row r="7" spans="1:20" x14ac:dyDescent="0.25">
      <c r="A7" s="75" t="s">
        <v>90</v>
      </c>
      <c r="B7" s="75"/>
      <c r="C7" s="75"/>
      <c r="D7" s="75"/>
      <c r="E7" s="75"/>
      <c r="F7" s="75"/>
      <c r="G7" s="75"/>
      <c r="H7" s="75"/>
      <c r="I7" s="75"/>
      <c r="J7" s="84">
        <v>0.17</v>
      </c>
      <c r="K7" s="84">
        <v>0.36</v>
      </c>
      <c r="L7" s="84">
        <v>0.25</v>
      </c>
      <c r="M7" s="84">
        <v>0.39</v>
      </c>
      <c r="N7" s="88">
        <v>0.39</v>
      </c>
      <c r="O7" s="84">
        <v>0.85</v>
      </c>
      <c r="P7" s="84">
        <v>0.94</v>
      </c>
      <c r="Q7" s="84">
        <v>0.73</v>
      </c>
      <c r="R7" s="84">
        <v>0.79</v>
      </c>
      <c r="S7" s="88">
        <v>0.75</v>
      </c>
      <c r="T7" s="16"/>
    </row>
    <row r="8" spans="1:20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60" x14ac:dyDescent="0.25">
      <c r="A10" s="95" t="s">
        <v>96</v>
      </c>
      <c r="B10" s="75" t="s">
        <v>118</v>
      </c>
      <c r="C10" s="76"/>
      <c r="D10" s="76"/>
      <c r="E10" s="76"/>
      <c r="F10" s="74"/>
      <c r="G10" s="74"/>
      <c r="H10" s="74"/>
      <c r="I10" s="109"/>
      <c r="J10" s="35"/>
      <c r="K10" s="35"/>
      <c r="L10" s="35"/>
      <c r="M10" s="35"/>
      <c r="N10" s="35"/>
      <c r="O10" s="16"/>
      <c r="P10" s="16"/>
      <c r="Q10" s="16"/>
      <c r="R10" s="16"/>
      <c r="S10" s="16"/>
    </row>
    <row r="11" spans="1:20" x14ac:dyDescent="0.25">
      <c r="I11" s="16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20" ht="60.75" customHeight="1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101"/>
      <c r="G12" s="35"/>
      <c r="I12" s="16"/>
      <c r="J12" s="75" t="s">
        <v>134</v>
      </c>
      <c r="K12" s="12">
        <v>511.4</v>
      </c>
      <c r="L12" s="12">
        <v>1947.1999999999998</v>
      </c>
      <c r="M12" s="12">
        <v>1950</v>
      </c>
      <c r="N12" s="12">
        <v>3551.7999999999997</v>
      </c>
      <c r="O12" s="12">
        <v>4586</v>
      </c>
      <c r="P12" s="47"/>
      <c r="Q12" s="47"/>
      <c r="R12" s="47"/>
      <c r="S12" s="16"/>
    </row>
    <row r="13" spans="1:20" ht="60" x14ac:dyDescent="0.25">
      <c r="A13" s="95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81"/>
      <c r="K13" s="75">
        <v>1000</v>
      </c>
      <c r="L13" s="75">
        <v>3000</v>
      </c>
      <c r="M13" s="75">
        <v>4000</v>
      </c>
      <c r="N13" s="75">
        <v>6000</v>
      </c>
      <c r="O13" s="96">
        <v>8000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</sheetPr>
  <dimension ref="A1:GV47"/>
  <sheetViews>
    <sheetView zoomScale="95" zoomScaleNormal="95" zoomScaleSheetLayoutView="40" workbookViewId="0">
      <pane xSplit="1" topLeftCell="T1" activePane="topRight" state="frozen"/>
      <selection pane="topRight" activeCell="V8" sqref="V8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8" width="10.7109375" customWidth="1"/>
    <col min="19" max="19" width="11.7109375" customWidth="1"/>
    <col min="21" max="21" width="11.5703125" customWidth="1"/>
    <col min="23" max="23" width="13.5703125" customWidth="1"/>
    <col min="25" max="25" width="9.42578125" customWidth="1"/>
    <col min="26" max="26" width="9.85546875" customWidth="1"/>
    <col min="27" max="27" width="9" customWidth="1"/>
    <col min="28" max="28" width="8.5703125" customWidth="1"/>
    <col min="29" max="30" width="9.5703125" customWidth="1"/>
    <col min="31" max="31" width="10.5703125" customWidth="1"/>
    <col min="32" max="32" width="9.42578125" customWidth="1"/>
    <col min="33" max="33" width="10.7109375" customWidth="1"/>
    <col min="34" max="34" width="10.5703125" customWidth="1"/>
    <col min="35" max="35" width="13.140625" customWidth="1"/>
    <col min="36" max="36" width="17.85546875" customWidth="1"/>
    <col min="37" max="37" width="12.42578125" customWidth="1"/>
    <col min="38" max="38" width="10.5703125" customWidth="1"/>
    <col min="39" max="39" width="14.28515625" customWidth="1"/>
    <col min="40" max="40" width="10.5703125" customWidth="1"/>
    <col min="41" max="41" width="12.85546875" customWidth="1"/>
    <col min="42" max="44" width="10.5703125" customWidth="1"/>
    <col min="45" max="45" width="12.85546875" customWidth="1"/>
    <col min="46" max="46" width="10.5703125" customWidth="1"/>
    <col min="47" max="47" width="14.5703125" customWidth="1"/>
    <col min="48" max="48" width="10.5703125" customWidth="1"/>
    <col min="49" max="49" width="14.28515625" customWidth="1"/>
    <col min="50" max="54" width="10.5703125" customWidth="1"/>
    <col min="55" max="55" width="13.140625" customWidth="1"/>
    <col min="56" max="56" width="10.5703125" customWidth="1"/>
    <col min="57" max="57" width="14.42578125" customWidth="1"/>
    <col min="58" max="64" width="11.140625" customWidth="1"/>
    <col min="65" max="65" width="12.85546875" customWidth="1"/>
    <col min="66" max="68" width="11.140625" customWidth="1"/>
    <col min="69" max="69" width="11.42578125" customWidth="1"/>
    <col min="70" max="70" width="10.140625" customWidth="1"/>
    <col min="71" max="71" width="11.42578125" customWidth="1"/>
    <col min="72" max="72" width="11.85546875" customWidth="1"/>
    <col min="73" max="73" width="11.28515625" customWidth="1"/>
    <col min="76" max="76" width="9.28515625" customWidth="1"/>
    <col min="77" max="77" width="13.5703125" customWidth="1"/>
    <col min="78" max="78" width="9.28515625" customWidth="1"/>
    <col min="79" max="79" width="13.7109375" customWidth="1"/>
    <col min="80" max="80" width="12.7109375" customWidth="1"/>
    <col min="81" max="81" width="14.42578125" customWidth="1"/>
    <col min="82" max="82" width="12.85546875" customWidth="1"/>
    <col min="84" max="84" width="11.42578125" customWidth="1"/>
    <col min="88" max="88" width="12" customWidth="1"/>
    <col min="90" max="90" width="12" customWidth="1"/>
    <col min="94" max="94" width="12" customWidth="1"/>
    <col min="96" max="96" width="11.85546875" customWidth="1"/>
    <col min="98" max="98" width="11.42578125" customWidth="1"/>
    <col min="100" max="100" width="11.28515625" customWidth="1"/>
    <col min="102" max="102" width="12.7109375" customWidth="1"/>
    <col min="108" max="108" width="8.28515625" customWidth="1"/>
    <col min="110" max="110" width="21.85546875" customWidth="1"/>
    <col min="123" max="123" width="20" customWidth="1"/>
    <col min="162" max="164" width="10.5703125" customWidth="1"/>
  </cols>
  <sheetData>
    <row r="1" spans="1:204" x14ac:dyDescent="0.25">
      <c r="A1" t="s">
        <v>136</v>
      </c>
    </row>
    <row r="2" spans="1:204" ht="15.75" customHeight="1" x14ac:dyDescent="0.25"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DI2" s="9"/>
    </row>
    <row r="3" spans="1:204" ht="17.25" customHeight="1" x14ac:dyDescent="0.25">
      <c r="U3" s="1"/>
      <c r="W3" s="19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9"/>
      <c r="BU3" s="16"/>
      <c r="BV3" s="19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</row>
    <row r="4" spans="1:204" x14ac:dyDescent="0.25">
      <c r="U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9"/>
      <c r="BU4" s="16"/>
      <c r="BV4" s="19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</row>
    <row r="5" spans="1:204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</row>
    <row r="6" spans="1:204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1" t="s">
        <v>31</v>
      </c>
      <c r="P6" s="50" t="s">
        <v>111</v>
      </c>
      <c r="Q6" s="50" t="s">
        <v>112</v>
      </c>
      <c r="R6" s="50" t="s">
        <v>113</v>
      </c>
      <c r="S6" s="51" t="s">
        <v>31</v>
      </c>
      <c r="T6" s="50" t="s">
        <v>30</v>
      </c>
      <c r="U6" s="17"/>
      <c r="V6" s="17"/>
      <c r="W6" s="18"/>
      <c r="X6" s="24" t="s">
        <v>56</v>
      </c>
      <c r="Y6" s="25" t="s">
        <v>16</v>
      </c>
      <c r="Z6" s="26" t="s">
        <v>57</v>
      </c>
      <c r="AA6" s="25" t="s">
        <v>16</v>
      </c>
      <c r="AB6" s="26" t="s">
        <v>58</v>
      </c>
      <c r="AC6" s="25" t="s">
        <v>16</v>
      </c>
      <c r="AD6" s="26" t="s">
        <v>59</v>
      </c>
      <c r="AE6" s="25" t="s">
        <v>16</v>
      </c>
      <c r="AF6" s="26" t="s">
        <v>60</v>
      </c>
      <c r="AG6" s="25" t="s">
        <v>16</v>
      </c>
      <c r="AH6" s="17"/>
      <c r="AI6" s="17"/>
      <c r="AJ6" s="18"/>
      <c r="AK6" s="24" t="s">
        <v>74</v>
      </c>
      <c r="AL6" s="25" t="s">
        <v>16</v>
      </c>
      <c r="AM6" s="26" t="s">
        <v>73</v>
      </c>
      <c r="AN6" s="25" t="s">
        <v>16</v>
      </c>
      <c r="AO6" s="26" t="s">
        <v>72</v>
      </c>
      <c r="AP6" s="25" t="s">
        <v>16</v>
      </c>
      <c r="AQ6" s="26" t="s">
        <v>71</v>
      </c>
      <c r="AR6" s="25" t="s">
        <v>16</v>
      </c>
      <c r="AS6" s="26" t="s">
        <v>77</v>
      </c>
      <c r="AT6" s="25" t="s">
        <v>16</v>
      </c>
      <c r="AU6" s="17"/>
      <c r="AV6" s="27" t="s">
        <v>54</v>
      </c>
      <c r="AW6" s="24"/>
      <c r="AX6" s="27" t="s">
        <v>115</v>
      </c>
      <c r="AY6" s="24"/>
      <c r="AZ6" s="27" t="s">
        <v>116</v>
      </c>
      <c r="BA6" s="24"/>
      <c r="BB6" s="27" t="s">
        <v>55</v>
      </c>
      <c r="BC6" s="24"/>
      <c r="BD6" s="18"/>
      <c r="BE6" s="63"/>
      <c r="BF6" s="18"/>
      <c r="BG6" s="64"/>
      <c r="BH6" s="18"/>
      <c r="BI6" s="64"/>
      <c r="BJ6" s="18"/>
      <c r="BK6" s="17"/>
      <c r="BL6" s="63"/>
      <c r="BM6" s="63"/>
      <c r="BN6" s="17"/>
      <c r="BO6" s="65"/>
      <c r="BP6" s="18"/>
      <c r="BQ6" s="64"/>
      <c r="BR6" s="18"/>
      <c r="BS6" s="64"/>
      <c r="BT6" s="18"/>
      <c r="BU6" s="17"/>
      <c r="BV6" s="63"/>
      <c r="BW6" s="63"/>
      <c r="BX6" s="16"/>
      <c r="BY6" s="65"/>
      <c r="BZ6" s="18"/>
      <c r="CA6" s="64"/>
      <c r="CB6" s="18"/>
      <c r="CC6" s="64"/>
      <c r="CD6" s="18"/>
      <c r="CE6" s="17"/>
      <c r="CF6" s="63"/>
      <c r="CG6" s="63"/>
      <c r="CH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6"/>
      <c r="DE6" s="4"/>
      <c r="DF6" s="4"/>
      <c r="DG6" s="4"/>
      <c r="DH6" s="4"/>
      <c r="DK6" s="4"/>
      <c r="DL6" s="4"/>
      <c r="DM6" s="4"/>
      <c r="DN6" s="4"/>
      <c r="DO6" s="4"/>
      <c r="DP6" s="4"/>
      <c r="DQ6" s="4"/>
      <c r="DR6" s="4"/>
      <c r="DT6" s="4"/>
      <c r="DU6" s="4"/>
      <c r="DV6" s="4"/>
      <c r="DW6" s="4"/>
      <c r="DX6" s="4"/>
      <c r="DY6" s="4"/>
      <c r="EB6" s="4"/>
      <c r="EC6" s="4"/>
      <c r="ED6" s="4"/>
      <c r="EE6" s="4"/>
      <c r="EF6" s="4"/>
      <c r="EG6" s="4"/>
      <c r="EH6" s="4"/>
      <c r="EI6" s="4"/>
      <c r="EL6" s="4"/>
      <c r="EM6" s="4"/>
      <c r="EN6" s="4"/>
      <c r="EO6" s="4"/>
      <c r="EP6" s="4"/>
      <c r="EQ6" s="4"/>
      <c r="ER6" s="4"/>
      <c r="ES6" s="4"/>
      <c r="ET6" s="4"/>
      <c r="EU6" s="4"/>
      <c r="EW6" s="4"/>
      <c r="EX6" s="4"/>
      <c r="EY6" s="4"/>
      <c r="EZ6" s="4"/>
      <c r="FA6" s="4"/>
      <c r="FB6" s="4"/>
      <c r="FC6" s="4"/>
      <c r="FD6" s="4"/>
      <c r="FE6" s="4"/>
      <c r="FF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H6" s="4"/>
      <c r="GI6" s="4"/>
      <c r="GJ6" s="4"/>
      <c r="GK6" s="4"/>
      <c r="GL6" s="4"/>
      <c r="GM6" s="4"/>
      <c r="GN6" s="4"/>
      <c r="GO6" s="4"/>
      <c r="GP6" s="4"/>
      <c r="GQ6" s="4"/>
      <c r="GS6" s="4"/>
    </row>
    <row r="7" spans="1:204" ht="15.75" x14ac:dyDescent="0.25">
      <c r="A7" t="s">
        <v>5</v>
      </c>
      <c r="B7" s="28">
        <v>2.04</v>
      </c>
      <c r="C7" s="29">
        <f>B7/AVERAGE($N7,$M7,$R7,$Q7)</f>
        <v>5.8819289266921364E-2</v>
      </c>
      <c r="D7" s="12">
        <v>1.98</v>
      </c>
      <c r="E7" s="29">
        <f>D7/AVERAGE($N7,$M7,$R7,$Q7)</f>
        <v>5.708931017083544E-2</v>
      </c>
      <c r="F7" s="12">
        <v>2.25</v>
      </c>
      <c r="G7" s="29">
        <f>F7/AVERAGE($N7,$M7,$R7,$Q7)</f>
        <v>6.4874216103222096E-2</v>
      </c>
      <c r="H7" s="33"/>
      <c r="I7" s="12">
        <f>AVERAGE(B7,D7,F7)</f>
        <v>2.09</v>
      </c>
      <c r="J7" s="30">
        <f>STDEV(B7,D7,F7)/I7</f>
        <v>6.7834674061042224E-2</v>
      </c>
      <c r="K7" s="19"/>
      <c r="L7" s="52">
        <v>37.42</v>
      </c>
      <c r="M7" s="52">
        <v>37.67</v>
      </c>
      <c r="N7" s="52">
        <v>38.119999999999997</v>
      </c>
      <c r="O7" s="141">
        <f>AVERAGE(N7,M7,L7)</f>
        <v>37.736666666666665</v>
      </c>
      <c r="P7" s="52">
        <v>31.09</v>
      </c>
      <c r="Q7" s="52">
        <v>31.24</v>
      </c>
      <c r="R7" s="53">
        <v>31.7</v>
      </c>
      <c r="S7" s="141">
        <f>AVERAGE(R7,P7,Q7)</f>
        <v>31.343333333333334</v>
      </c>
      <c r="T7" s="54">
        <f>ABS(L7-R7)/AVERAGE(L7:R7)</f>
        <v>0.16344413753690837</v>
      </c>
      <c r="U7" s="38"/>
      <c r="V7" s="38"/>
      <c r="W7" s="16"/>
      <c r="X7" s="28">
        <v>2.39</v>
      </c>
      <c r="Y7" s="29">
        <f>X7/AVERAGE($N7,$M7,$R7,$Q7)</f>
        <v>6.8910833994089246E-2</v>
      </c>
      <c r="Z7" s="12">
        <v>2.31</v>
      </c>
      <c r="AA7" s="29">
        <f>Z7/AVERAGE($N7,$M7,$R7,$Q7)</f>
        <v>6.6604195199308019E-2</v>
      </c>
      <c r="AB7" s="12">
        <v>1.34</v>
      </c>
      <c r="AC7" s="29">
        <f>AB7/AVERAGE($N7,$M7,$R7,$Q7)</f>
        <v>3.8636199812585606E-2</v>
      </c>
      <c r="AD7" s="12">
        <v>2.3199999999999998</v>
      </c>
      <c r="AE7" s="29">
        <f>AD7/AVERAGE($N7,$M7,$R7,$Q7)</f>
        <v>6.6892525048655657E-2</v>
      </c>
      <c r="AF7" s="12">
        <v>3.14</v>
      </c>
      <c r="AG7" s="29">
        <f>AF7/AVERAGE($N7,$M7,$R7,$Q7)</f>
        <v>9.0535572695163283E-2</v>
      </c>
      <c r="AH7" s="16"/>
      <c r="AI7" s="38"/>
      <c r="AJ7" s="20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43"/>
      <c r="AV7" s="12">
        <v>2.1800000000000002</v>
      </c>
      <c r="AW7" s="30">
        <f>AV7/AVERAGE($L7,$M7,$P7,$Q7)</f>
        <v>6.3455101149759857E-2</v>
      </c>
      <c r="AX7" s="12">
        <v>2.2000000000000002</v>
      </c>
      <c r="AY7" s="30">
        <f>AX7/AVERAGE($L7,$M7,$P7,$Q7)</f>
        <v>6.4037258041042058E-2</v>
      </c>
      <c r="AZ7" s="12">
        <v>2.2000000000000002</v>
      </c>
      <c r="BA7" s="30">
        <f>AZ7/AVERAGE($L7,$M7,$P7,$Q7)</f>
        <v>6.4037258041042058E-2</v>
      </c>
      <c r="BB7" s="12">
        <v>2.0099999999999998</v>
      </c>
      <c r="BC7" s="30">
        <f>BB7/AVERAGE($L7,$M7,$P7,$Q7)</f>
        <v>5.850676757386114E-2</v>
      </c>
      <c r="BD7" s="20"/>
      <c r="BE7" s="43"/>
      <c r="BF7" s="23"/>
      <c r="BG7" s="16"/>
      <c r="BH7" s="23"/>
      <c r="BI7" s="16"/>
      <c r="BJ7" s="23"/>
      <c r="BK7" s="23"/>
      <c r="BL7" s="16"/>
      <c r="BM7" s="38"/>
      <c r="BN7" s="16"/>
      <c r="BO7" s="43"/>
      <c r="BP7" s="23"/>
      <c r="BQ7" s="16"/>
      <c r="BR7" s="23"/>
      <c r="BS7" s="16"/>
      <c r="BT7" s="23"/>
      <c r="BU7" s="23"/>
      <c r="BV7" s="16"/>
      <c r="BW7" s="38"/>
      <c r="BX7" s="20"/>
      <c r="BY7" s="43"/>
      <c r="BZ7" s="23"/>
      <c r="CA7" s="16"/>
      <c r="CB7" s="23"/>
      <c r="CC7" s="16"/>
      <c r="CD7" s="23"/>
      <c r="CE7" s="23"/>
      <c r="CF7" s="16"/>
      <c r="CG7" s="38"/>
      <c r="CH7" s="16"/>
      <c r="CM7" s="20"/>
      <c r="CN7" s="16"/>
      <c r="CO7" s="20"/>
      <c r="CP7" s="16"/>
      <c r="CQ7" s="20"/>
      <c r="CR7" s="16"/>
      <c r="CS7" s="20"/>
      <c r="CT7" s="16"/>
      <c r="CU7" s="20"/>
      <c r="CV7" s="16"/>
      <c r="CW7" s="20"/>
      <c r="CX7" s="16"/>
      <c r="CY7" s="20"/>
      <c r="CZ7" s="19"/>
      <c r="DA7" s="19"/>
      <c r="DB7" s="19"/>
      <c r="DC7" s="1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5"/>
      <c r="EY7" s="8"/>
      <c r="FA7" s="8"/>
      <c r="FC7" s="8"/>
      <c r="FE7" s="1"/>
      <c r="FF7" s="8"/>
      <c r="FG7" s="2"/>
      <c r="FH7" s="5"/>
      <c r="FJ7" s="8"/>
      <c r="FL7" s="8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</row>
    <row r="8" spans="1:204" ht="15.75" x14ac:dyDescent="0.25">
      <c r="A8" t="s">
        <v>9</v>
      </c>
      <c r="B8" s="28">
        <v>39.340000000000003</v>
      </c>
      <c r="C8" s="30">
        <f>B8/AVERAGE($N8,$M8,$R8,$Q8)</f>
        <v>1.1495361238950985</v>
      </c>
      <c r="D8" s="12">
        <v>33.479999999999997</v>
      </c>
      <c r="E8" s="30">
        <f>D8/AVERAGE($N8,$M8,$R8,$Q8)</f>
        <v>0.97830374753451677</v>
      </c>
      <c r="F8" s="12">
        <v>35.39</v>
      </c>
      <c r="G8" s="30">
        <f>F8/AVERAGE($N8,$M8,$R8,$Q8)</f>
        <v>1.0341149828329317</v>
      </c>
      <c r="H8" s="34"/>
      <c r="I8" s="12">
        <f>AVERAGE(B8,D8,F8)</f>
        <v>36.07</v>
      </c>
      <c r="J8" s="30">
        <f>STDEV(B8,D8,F8)/I8</f>
        <v>8.2855419673285857E-2</v>
      </c>
      <c r="K8" s="19"/>
      <c r="L8" s="52">
        <v>38.340000000000003</v>
      </c>
      <c r="M8" s="52">
        <v>38.81</v>
      </c>
      <c r="N8" s="52">
        <v>37.76</v>
      </c>
      <c r="O8" s="141">
        <f>AVERAGE(N8,M8,L8)</f>
        <v>38.303333333333335</v>
      </c>
      <c r="P8" s="52">
        <v>30.68</v>
      </c>
      <c r="Q8" s="52">
        <v>30.25</v>
      </c>
      <c r="R8" s="53">
        <v>30.07</v>
      </c>
      <c r="S8" s="141">
        <f>AVERAGE(R8,P8,Q8)</f>
        <v>30.333333333333332</v>
      </c>
      <c r="T8" s="54">
        <f>ABS(L8-R8)/AVERAGE(L8:R8)</f>
        <v>0.23704684428914619</v>
      </c>
      <c r="U8" s="38"/>
      <c r="V8" s="38"/>
      <c r="W8" s="16"/>
      <c r="X8" s="28">
        <v>35.15</v>
      </c>
      <c r="Y8" s="30">
        <f>X8/AVERAGE($N8,$M8,$R8,$Q8)</f>
        <v>1.0271020527430785</v>
      </c>
      <c r="Z8" s="12">
        <v>33.72</v>
      </c>
      <c r="AA8" s="30">
        <f>Z8/AVERAGE($N8,$M8,$R8,$Q8)</f>
        <v>0.98531667762437003</v>
      </c>
      <c r="AB8" s="12">
        <v>36.15</v>
      </c>
      <c r="AC8" s="30">
        <f>AB8/AVERAGE($N8,$M8,$R8,$Q8)</f>
        <v>1.0563225947841333</v>
      </c>
      <c r="AD8" s="12">
        <v>38.700000000000003</v>
      </c>
      <c r="AE8" s="30">
        <f>AD8/AVERAGE($N8,$M8,$R8,$Q8)</f>
        <v>1.1308349769888233</v>
      </c>
      <c r="AF8" s="12">
        <v>36.72</v>
      </c>
      <c r="AG8" s="30">
        <f>AF8/AVERAGE($N8,$M8,$R8,$Q8)</f>
        <v>1.0729783037475347</v>
      </c>
      <c r="AH8" s="16"/>
      <c r="AI8" s="23"/>
      <c r="AJ8" s="20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43"/>
      <c r="AV8" s="12">
        <v>35.86</v>
      </c>
      <c r="AW8" s="30">
        <f>AV8/AVERAGE($L8,$M8,$P8,$Q8)</f>
        <v>1.0388180764774042</v>
      </c>
      <c r="AX8" s="12">
        <v>36.450000000000003</v>
      </c>
      <c r="AY8" s="30">
        <f>AX8/AVERAGE($L8,$M8,$P8,$Q8)</f>
        <v>1.0559096176129781</v>
      </c>
      <c r="AZ8" s="12">
        <v>36.18</v>
      </c>
      <c r="BA8" s="30">
        <f>AZ8/AVERAGE($L8,$M8,$P8,$Q8)</f>
        <v>1.0480880648899187</v>
      </c>
      <c r="BB8" s="12">
        <v>36.47</v>
      </c>
      <c r="BC8" s="30">
        <f>BB8/AVERAGE($L8,$M8,$P8,$Q8)</f>
        <v>1.0564889918887601</v>
      </c>
      <c r="BD8" s="20"/>
      <c r="BE8" s="43"/>
      <c r="BF8" s="38"/>
      <c r="BG8" s="16"/>
      <c r="BH8" s="38"/>
      <c r="BI8" s="16"/>
      <c r="BJ8" s="38"/>
      <c r="BK8" s="38"/>
      <c r="BL8" s="16"/>
      <c r="BM8" s="38"/>
      <c r="BN8" s="16"/>
      <c r="BO8" s="43"/>
      <c r="BP8" s="23"/>
      <c r="BQ8" s="16"/>
      <c r="BR8" s="23"/>
      <c r="BS8" s="16"/>
      <c r="BT8" s="23"/>
      <c r="BU8" s="38"/>
      <c r="BV8" s="16"/>
      <c r="BW8" s="38"/>
      <c r="BX8" s="20"/>
      <c r="BY8" s="43"/>
      <c r="BZ8" s="23"/>
      <c r="CA8" s="16"/>
      <c r="CB8" s="23"/>
      <c r="CC8" s="16"/>
      <c r="CD8" s="23"/>
      <c r="CE8" s="38"/>
      <c r="CF8" s="16"/>
      <c r="CG8" s="38"/>
      <c r="CH8" s="16"/>
      <c r="CM8" s="20"/>
      <c r="CN8" s="16"/>
      <c r="CO8" s="20"/>
      <c r="CP8" s="16"/>
      <c r="CQ8" s="20"/>
      <c r="CR8" s="16"/>
      <c r="CS8" s="20"/>
      <c r="CT8" s="16"/>
      <c r="CU8" s="20"/>
      <c r="CV8" s="16"/>
      <c r="CW8" s="20"/>
      <c r="CX8" s="16"/>
      <c r="CY8" s="20"/>
      <c r="CZ8" s="19"/>
      <c r="DA8" s="19"/>
      <c r="DB8" s="19"/>
      <c r="DC8" s="1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5"/>
      <c r="EY8" s="8"/>
      <c r="FA8" s="8"/>
      <c r="FC8" s="8"/>
      <c r="FE8" s="1"/>
      <c r="FF8" s="8"/>
      <c r="FG8" s="2"/>
      <c r="FH8" s="5"/>
      <c r="FJ8" s="8"/>
      <c r="FL8" s="8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</row>
    <row r="9" spans="1:204" ht="15.75" x14ac:dyDescent="0.25">
      <c r="A9" t="s">
        <v>7</v>
      </c>
      <c r="B9" s="28">
        <v>35.01</v>
      </c>
      <c r="C9" s="29">
        <f>B9/AVERAGE($N9,$M9,$R9,$Q9)</f>
        <v>2.4422741541681199</v>
      </c>
      <c r="D9" s="12">
        <v>14.07</v>
      </c>
      <c r="E9" s="30">
        <f>D9/AVERAGE($N9,$M9,$R9,$Q9)</f>
        <v>0.98151377746773638</v>
      </c>
      <c r="F9" s="12">
        <v>12.78</v>
      </c>
      <c r="G9" s="30">
        <f>F9/AVERAGE($N9,$M9,$R9,$Q9)</f>
        <v>0.89152424136728292</v>
      </c>
      <c r="H9" s="34"/>
      <c r="I9" s="12">
        <f>AVERAGE(B9,D9,F9)</f>
        <v>20.62</v>
      </c>
      <c r="J9" s="29">
        <f>STDEV(B9,D9,F9)/I9</f>
        <v>0.60517875842123459</v>
      </c>
      <c r="K9" s="16"/>
      <c r="L9" s="52">
        <v>15.16</v>
      </c>
      <c r="M9" s="52">
        <v>15.73</v>
      </c>
      <c r="N9" s="52">
        <v>15</v>
      </c>
      <c r="O9" s="141">
        <f>AVERAGE(N9,M9,L9)</f>
        <v>15.296666666666667</v>
      </c>
      <c r="P9" s="52">
        <v>12.64</v>
      </c>
      <c r="Q9" s="52">
        <v>13.94</v>
      </c>
      <c r="R9" s="52">
        <v>12.67</v>
      </c>
      <c r="S9" s="141">
        <f>AVERAGE(R9,P9,Q9)</f>
        <v>13.083333333333334</v>
      </c>
      <c r="T9" s="54">
        <f>ABS(L9-R9)/AVERAGE(L9:R9)</f>
        <v>0.17354219906408683</v>
      </c>
      <c r="U9" s="38"/>
      <c r="V9" s="38"/>
      <c r="W9" s="16"/>
      <c r="X9" s="28"/>
      <c r="Y9" s="12"/>
      <c r="Z9" s="12"/>
      <c r="AA9" s="12"/>
      <c r="AB9" s="12"/>
      <c r="AC9" s="12"/>
      <c r="AD9" s="12"/>
      <c r="AE9" s="12"/>
      <c r="AF9" s="12"/>
      <c r="AG9" s="12"/>
      <c r="AH9" s="16"/>
      <c r="AI9" s="45"/>
      <c r="AJ9" s="43"/>
      <c r="AK9" s="28">
        <v>8.5299999999999994</v>
      </c>
      <c r="AL9" s="12">
        <f>AK9/0.5*10</f>
        <v>170.6</v>
      </c>
      <c r="AM9" s="12">
        <v>40.75</v>
      </c>
      <c r="AN9" s="12">
        <f>AM9/0.5*10</f>
        <v>815</v>
      </c>
      <c r="AO9" s="12">
        <v>18.920000000000002</v>
      </c>
      <c r="AP9" s="12">
        <f>AO9/0.5*20</f>
        <v>756.80000000000007</v>
      </c>
      <c r="AQ9" s="12">
        <v>40.229999999999997</v>
      </c>
      <c r="AR9" s="12">
        <f>AQ9/0.5*20</f>
        <v>1609.1999999999998</v>
      </c>
      <c r="AS9" s="12">
        <v>9.9700000000000006</v>
      </c>
      <c r="AT9" s="12">
        <f>AS9/0.5*100</f>
        <v>1994.0000000000002</v>
      </c>
      <c r="AU9" s="45"/>
      <c r="AV9" s="12">
        <v>2.92</v>
      </c>
      <c r="AW9" s="30">
        <f>AV9/AVERAGE($N9,$M9,$R9,$Q9)</f>
        <v>0.20369724450645274</v>
      </c>
      <c r="AX9" s="12">
        <v>3.2</v>
      </c>
      <c r="AY9" s="30">
        <f>AX9/AVERAGE($N9,$M9,$R9,$Q9)</f>
        <v>0.22322985699337289</v>
      </c>
      <c r="AZ9" s="12">
        <v>3.2</v>
      </c>
      <c r="BA9" s="30">
        <f>AZ9/AVERAGE($N9,$M9,$R9,$Q9)</f>
        <v>0.22322985699337289</v>
      </c>
      <c r="BB9" s="12">
        <v>2.9</v>
      </c>
      <c r="BC9" s="30">
        <f>BB9/AVERAGE($N9,$M9,$R9,$Q9)</f>
        <v>0.20230205790024416</v>
      </c>
      <c r="BD9" s="19"/>
      <c r="BE9" s="43"/>
      <c r="BF9" s="16"/>
      <c r="BG9" s="16"/>
      <c r="BH9" s="16"/>
      <c r="BI9" s="16"/>
      <c r="BJ9" s="16"/>
      <c r="BK9" s="38"/>
      <c r="BL9" s="16"/>
      <c r="BM9" s="38"/>
      <c r="BN9" s="16"/>
      <c r="BO9" s="43"/>
      <c r="BP9" s="16"/>
      <c r="BQ9" s="16"/>
      <c r="BR9" s="16"/>
      <c r="BS9" s="16"/>
      <c r="BT9" s="16"/>
      <c r="BU9" s="38"/>
      <c r="BV9" s="16"/>
      <c r="BW9" s="38"/>
      <c r="BX9" s="20"/>
      <c r="BY9" s="43"/>
      <c r="BZ9" s="16"/>
      <c r="CA9" s="16"/>
      <c r="CB9" s="16"/>
      <c r="CC9" s="16"/>
      <c r="CD9" s="16"/>
      <c r="CE9" s="38"/>
      <c r="CF9" s="16"/>
      <c r="CG9" s="38"/>
      <c r="CH9" s="16"/>
      <c r="CM9" s="19"/>
      <c r="CN9" s="16"/>
      <c r="CO9" s="19"/>
      <c r="CP9" s="16"/>
      <c r="CQ9" s="19"/>
      <c r="CR9" s="16"/>
      <c r="CS9" s="19"/>
      <c r="CT9" s="16"/>
      <c r="CU9" s="19"/>
      <c r="CV9" s="16"/>
      <c r="CW9" s="19"/>
      <c r="CX9" s="16"/>
      <c r="CY9" s="19"/>
      <c r="CZ9" s="46"/>
      <c r="DA9" s="16"/>
      <c r="DB9" s="46"/>
      <c r="DC9" s="45"/>
      <c r="DD9" s="2"/>
      <c r="DE9" s="2"/>
      <c r="DI9" s="6"/>
      <c r="DJ9" s="2"/>
      <c r="DL9" s="8"/>
      <c r="DN9" s="8"/>
      <c r="DO9" s="8"/>
      <c r="DP9" s="8"/>
      <c r="DQ9" s="8"/>
      <c r="DR9" s="8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5"/>
      <c r="EE9" s="1"/>
      <c r="EG9" s="1"/>
      <c r="EI9" s="1"/>
      <c r="EJ9" s="1"/>
      <c r="EK9" s="2"/>
      <c r="EL9" s="2"/>
      <c r="EN9" s="7"/>
      <c r="EP9" s="7"/>
      <c r="ER9" s="7"/>
      <c r="ET9" s="7"/>
      <c r="EU9" s="7"/>
      <c r="EV9" s="7"/>
      <c r="EW9" s="7"/>
      <c r="EY9" s="7"/>
      <c r="FA9" s="7"/>
      <c r="FC9" s="7"/>
      <c r="FE9" s="7"/>
      <c r="FF9" s="7"/>
      <c r="FG9" s="7"/>
      <c r="FH9" s="7"/>
      <c r="FJ9" s="7"/>
      <c r="FL9" s="7"/>
      <c r="FN9" s="7"/>
      <c r="FP9" s="7"/>
      <c r="FR9" s="7"/>
      <c r="FS9" s="7"/>
      <c r="FT9" s="7"/>
      <c r="FU9" s="7"/>
      <c r="FW9" s="7"/>
      <c r="FY9" s="7"/>
      <c r="GA9" s="7"/>
      <c r="GC9" s="7"/>
      <c r="GE9" s="7"/>
      <c r="GF9" s="7"/>
      <c r="GG9" s="7"/>
      <c r="GH9" s="7"/>
      <c r="GJ9" s="7"/>
      <c r="GL9" s="7"/>
      <c r="GN9" s="7"/>
      <c r="GP9" s="7"/>
      <c r="GQ9" s="2"/>
      <c r="GR9" s="2"/>
      <c r="GS9" s="2"/>
    </row>
    <row r="10" spans="1:204" ht="15.75" x14ac:dyDescent="0.25">
      <c r="A10" t="s">
        <v>6</v>
      </c>
      <c r="B10" s="28">
        <v>68.959999999999994</v>
      </c>
      <c r="C10" s="29">
        <f>B10/AVERAGE($N10,$M10,$R10,$Q10)</f>
        <v>2.371389270976616</v>
      </c>
      <c r="D10" s="12">
        <v>25.02</v>
      </c>
      <c r="E10" s="30">
        <f>D10/AVERAGE($N10,$M10,$R10,$Q10)</f>
        <v>0.86038514442916092</v>
      </c>
      <c r="F10" s="12">
        <v>21.65</v>
      </c>
      <c r="G10" s="30">
        <f>F10/AVERAGE($N10,$M10,$R10,$Q10)</f>
        <v>0.74449793672627229</v>
      </c>
      <c r="H10" s="34"/>
      <c r="I10" s="274">
        <f>AVERAGE(B10,D10,F10)</f>
        <v>38.543333333333329</v>
      </c>
      <c r="J10" s="29">
        <f>STDEV(B10,D10,F10)/I10</f>
        <v>0.68482513413223933</v>
      </c>
      <c r="K10" s="16"/>
      <c r="L10" s="52">
        <v>30.2</v>
      </c>
      <c r="M10" s="52">
        <v>31.34</v>
      </c>
      <c r="N10" s="52">
        <v>28.86</v>
      </c>
      <c r="O10" s="141">
        <f>AVERAGE(N10,M10,L10)</f>
        <v>30.133333333333336</v>
      </c>
      <c r="P10" s="52">
        <v>25.53</v>
      </c>
      <c r="Q10" s="52">
        <v>29.87</v>
      </c>
      <c r="R10" s="52">
        <v>26.25</v>
      </c>
      <c r="S10" s="141">
        <f>AVERAGE(R10,P10,Q10)</f>
        <v>27.216666666666669</v>
      </c>
      <c r="T10" s="54">
        <f>ABS(L10-R10)/AVERAGE(L10:R10)</f>
        <v>0.13675706866705134</v>
      </c>
      <c r="U10" s="38"/>
      <c r="V10" s="38"/>
      <c r="W10" s="16"/>
      <c r="X10" s="28"/>
      <c r="Y10" s="12"/>
      <c r="Z10" s="12"/>
      <c r="AA10" s="12"/>
      <c r="AB10" s="12"/>
      <c r="AC10" s="12"/>
      <c r="AD10" s="12"/>
      <c r="AE10" s="12"/>
      <c r="AF10" s="12"/>
      <c r="AG10" s="12"/>
      <c r="AH10" s="16"/>
      <c r="AI10" s="45"/>
      <c r="AJ10" s="43"/>
      <c r="AK10" s="28">
        <v>0.1</v>
      </c>
      <c r="AL10" s="12">
        <f>AK10/0.5*10</f>
        <v>2</v>
      </c>
      <c r="AM10" s="12">
        <v>13.55</v>
      </c>
      <c r="AN10" s="12">
        <f>AM10/0.5*10</f>
        <v>271</v>
      </c>
      <c r="AO10" s="12">
        <v>6.07</v>
      </c>
      <c r="AP10" s="12">
        <f>AO10/0.5*20</f>
        <v>242.8</v>
      </c>
      <c r="AQ10" s="12">
        <v>18.3</v>
      </c>
      <c r="AR10" s="12">
        <f>AQ10/0.5*20</f>
        <v>732</v>
      </c>
      <c r="AS10" s="12">
        <v>5.77</v>
      </c>
      <c r="AT10" s="12">
        <f>AS10/0.5*100</f>
        <v>1154</v>
      </c>
      <c r="AU10" s="45"/>
      <c r="AV10" s="12">
        <v>4.2</v>
      </c>
      <c r="AW10" s="30">
        <f>AV10/AVERAGE($N10,$M10,$R10,$Q10)</f>
        <v>0.14442916093535074</v>
      </c>
      <c r="AX10" s="12">
        <v>3.7</v>
      </c>
      <c r="AY10" s="30">
        <f>AX10/AVERAGE($N10,$M10,$R10,$Q10)</f>
        <v>0.12723521320495185</v>
      </c>
      <c r="AZ10" s="12">
        <v>4.16</v>
      </c>
      <c r="BA10" s="30">
        <f>AZ10/AVERAGE($N10,$M10,$R10,$Q10)</f>
        <v>0.14305364511691884</v>
      </c>
      <c r="BB10" s="12">
        <v>1.2</v>
      </c>
      <c r="BC10" s="30">
        <f>BB10/AVERAGE($N10,$M10,$R10,$Q10)</f>
        <v>4.1265474552957357E-2</v>
      </c>
      <c r="BD10" s="19"/>
      <c r="BE10" s="43"/>
      <c r="BF10" s="16"/>
      <c r="BG10" s="16"/>
      <c r="BH10" s="16"/>
      <c r="BI10" s="16"/>
      <c r="BJ10" s="16"/>
      <c r="BK10" s="38"/>
      <c r="BL10" s="16"/>
      <c r="BM10" s="38"/>
      <c r="BN10" s="16"/>
      <c r="BO10" s="43"/>
      <c r="BP10" s="16"/>
      <c r="BQ10" s="16"/>
      <c r="BR10" s="16"/>
      <c r="BS10" s="16"/>
      <c r="BT10" s="16"/>
      <c r="BU10" s="38"/>
      <c r="BV10" s="16"/>
      <c r="BW10" s="38"/>
      <c r="BX10" s="20"/>
      <c r="BY10" s="43"/>
      <c r="BZ10" s="16"/>
      <c r="CA10" s="16"/>
      <c r="CB10" s="16"/>
      <c r="CC10" s="16"/>
      <c r="CD10" s="16"/>
      <c r="CE10" s="38"/>
      <c r="CF10" s="16"/>
      <c r="CG10" s="38"/>
      <c r="CH10" s="16"/>
      <c r="CM10" s="19"/>
      <c r="CN10" s="16"/>
      <c r="CO10" s="19"/>
      <c r="CP10" s="16"/>
      <c r="CQ10" s="19"/>
      <c r="CR10" s="16"/>
      <c r="CS10" s="19"/>
      <c r="CT10" s="16"/>
      <c r="CU10" s="19"/>
      <c r="CV10" s="16"/>
      <c r="CW10" s="19"/>
      <c r="CX10" s="16"/>
      <c r="CY10" s="19"/>
      <c r="CZ10" s="46"/>
      <c r="DA10" s="16"/>
      <c r="DB10" s="46"/>
      <c r="DC10" s="45"/>
      <c r="DD10" s="2"/>
      <c r="DE10" s="2"/>
      <c r="DH10" s="1"/>
      <c r="DI10" s="6"/>
      <c r="DJ10" s="2"/>
      <c r="DL10" s="8"/>
      <c r="DN10" s="8"/>
      <c r="DO10" s="8"/>
      <c r="DP10" s="8"/>
      <c r="DQ10" s="8"/>
      <c r="DR10" s="8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5"/>
      <c r="EE10" s="1"/>
      <c r="EG10" s="1"/>
      <c r="EI10" s="1"/>
      <c r="EJ10" s="1"/>
      <c r="EK10" s="2"/>
      <c r="EL10" s="2"/>
      <c r="EN10" s="7"/>
      <c r="EP10" s="7"/>
      <c r="ER10" s="7"/>
      <c r="ET10" s="7"/>
      <c r="EU10" s="7"/>
      <c r="EV10" s="7"/>
      <c r="EW10" s="7"/>
      <c r="EY10" s="7"/>
      <c r="FA10" s="7"/>
      <c r="FC10" s="7"/>
      <c r="FE10" s="7"/>
      <c r="FF10" s="7"/>
      <c r="FG10" s="7"/>
      <c r="FH10" s="7"/>
      <c r="FJ10" s="7"/>
      <c r="FL10" s="7"/>
      <c r="FN10" s="7"/>
      <c r="FP10" s="7"/>
      <c r="FR10" s="7"/>
      <c r="FS10" s="7"/>
      <c r="FT10" s="7"/>
      <c r="FU10" s="7"/>
      <c r="FW10" s="7"/>
      <c r="FY10" s="7"/>
      <c r="GA10" s="7"/>
      <c r="GC10" s="7"/>
      <c r="GE10" s="7"/>
      <c r="GF10" s="7"/>
      <c r="GG10" s="7"/>
      <c r="GH10" s="7"/>
      <c r="GJ10" s="7"/>
      <c r="GL10" s="7"/>
      <c r="GN10" s="7"/>
      <c r="GP10" s="7"/>
      <c r="GQ10" s="2"/>
      <c r="GR10" s="2"/>
      <c r="GS10" s="2"/>
    </row>
    <row r="11" spans="1:204" ht="15.75" x14ac:dyDescent="0.25">
      <c r="A11" t="s">
        <v>17</v>
      </c>
      <c r="B11" s="13">
        <f>B9+B10</f>
        <v>103.97</v>
      </c>
      <c r="C11" s="29">
        <f>B11/AVERAGE($N11,$M11,$R11,$Q11)</f>
        <v>2.394794425889669</v>
      </c>
      <c r="D11" s="13">
        <f>D9+D10</f>
        <v>39.090000000000003</v>
      </c>
      <c r="E11" s="30">
        <f>D11/AVERAGE($N11,$M11,$R11,$Q11)</f>
        <v>0.90038005297708157</v>
      </c>
      <c r="F11" s="13">
        <f>F9+F10</f>
        <v>34.43</v>
      </c>
      <c r="G11" s="30">
        <f>F11/AVERAGE($N11,$M11,$R11,$Q11)</f>
        <v>0.79304387884371752</v>
      </c>
      <c r="H11" s="34"/>
      <c r="I11" s="274">
        <f>AVERAGE(B11,D11,F11)</f>
        <v>59.163333333333334</v>
      </c>
      <c r="J11" s="29">
        <f>STDEV(B11,D11,F11)/I11</f>
        <v>0.65705564276249284</v>
      </c>
      <c r="K11" s="19"/>
      <c r="L11" s="52">
        <f t="shared" ref="L11:R11" si="0">L9+L10</f>
        <v>45.36</v>
      </c>
      <c r="M11" s="52">
        <f t="shared" si="0"/>
        <v>47.07</v>
      </c>
      <c r="N11" s="52">
        <f t="shared" si="0"/>
        <v>43.86</v>
      </c>
      <c r="O11" s="53">
        <f>AVERAGE(N11,M11,L11)</f>
        <v>45.430000000000007</v>
      </c>
      <c r="P11" s="52">
        <f t="shared" si="0"/>
        <v>38.17</v>
      </c>
      <c r="Q11" s="52">
        <f t="shared" si="0"/>
        <v>43.81</v>
      </c>
      <c r="R11" s="52">
        <f t="shared" si="0"/>
        <v>38.92</v>
      </c>
      <c r="S11" s="53">
        <f>AVERAGE(R11,P11,Q11)</f>
        <v>40.300000000000004</v>
      </c>
      <c r="T11" s="54">
        <f>ABS(L11-R11)/AVERAGE(L11:R11)</f>
        <v>0.14896569955720038</v>
      </c>
      <c r="U11" s="38"/>
      <c r="V11" s="38"/>
      <c r="W11" s="16"/>
      <c r="X11" s="13"/>
      <c r="Y11" s="12"/>
      <c r="Z11" s="13"/>
      <c r="AA11" s="12"/>
      <c r="AB11" s="13"/>
      <c r="AC11" s="12"/>
      <c r="AD11" s="13"/>
      <c r="AE11" s="12"/>
      <c r="AF11" s="13"/>
      <c r="AG11" s="12"/>
      <c r="AH11" s="16"/>
      <c r="AI11" s="45"/>
      <c r="AJ11" s="43"/>
      <c r="AK11" s="13">
        <f>SUM(AK10,AK9)</f>
        <v>8.629999999999999</v>
      </c>
      <c r="AL11" s="12">
        <f>AK11/0.5*10</f>
        <v>172.59999999999997</v>
      </c>
      <c r="AM11" s="13">
        <f>SUM(AM10,AM9)</f>
        <v>54.3</v>
      </c>
      <c r="AN11" s="12">
        <f>AM11/0.5*10</f>
        <v>1086</v>
      </c>
      <c r="AO11" s="13">
        <f>SUM(AO10,AO9)</f>
        <v>24.990000000000002</v>
      </c>
      <c r="AP11" s="12">
        <f>AO11/0.5*20</f>
        <v>999.60000000000014</v>
      </c>
      <c r="AQ11" s="13">
        <f>SUM(AQ10,AQ9)</f>
        <v>58.53</v>
      </c>
      <c r="AR11" s="12">
        <f>AQ11/0.5*20</f>
        <v>2341.1999999999998</v>
      </c>
      <c r="AS11" s="13">
        <f>SUM(AS10,AS9)</f>
        <v>15.74</v>
      </c>
      <c r="AT11" s="12">
        <f>AS11/0.5*100</f>
        <v>3148</v>
      </c>
      <c r="AU11" s="45" t="s">
        <v>81</v>
      </c>
      <c r="AV11" s="12"/>
      <c r="AW11" s="30"/>
      <c r="AX11" s="12"/>
      <c r="AY11" s="30"/>
      <c r="AZ11" s="12"/>
      <c r="BA11" s="30"/>
      <c r="BB11" s="12"/>
      <c r="BC11" s="30"/>
      <c r="BD11" s="19"/>
      <c r="BE11" s="19"/>
      <c r="BF11" s="16"/>
      <c r="BG11" s="19"/>
      <c r="BH11" s="16"/>
      <c r="BI11" s="19"/>
      <c r="BJ11" s="16"/>
      <c r="BK11" s="38"/>
      <c r="BL11" s="16"/>
      <c r="BM11" s="38"/>
      <c r="BN11" s="19"/>
      <c r="BO11" s="19"/>
      <c r="BP11" s="16"/>
      <c r="BQ11" s="19"/>
      <c r="BR11" s="16"/>
      <c r="BS11" s="19"/>
      <c r="BT11" s="16"/>
      <c r="BU11" s="38"/>
      <c r="BV11" s="16"/>
      <c r="BW11" s="38"/>
      <c r="BX11" s="20"/>
      <c r="BY11" s="19"/>
      <c r="BZ11" s="16"/>
      <c r="CA11" s="19"/>
      <c r="CB11" s="16"/>
      <c r="CC11" s="19"/>
      <c r="CD11" s="16"/>
      <c r="CE11" s="38"/>
      <c r="CF11" s="16"/>
      <c r="CG11" s="38"/>
      <c r="CH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46"/>
      <c r="DA11" s="16"/>
      <c r="DB11" s="46"/>
      <c r="DC11" s="45"/>
      <c r="DD11" s="2"/>
      <c r="DE11" s="2"/>
      <c r="DH11" s="1"/>
      <c r="DI11" s="6"/>
      <c r="DJ11" s="2"/>
      <c r="DL11" s="8"/>
      <c r="DN11" s="8"/>
      <c r="DO11" s="8"/>
      <c r="DP11" s="8"/>
      <c r="DQ11" s="8"/>
      <c r="DR11" s="8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5"/>
      <c r="EE11" s="1"/>
      <c r="EG11" s="1"/>
      <c r="EI11" s="1"/>
      <c r="EJ11" s="1"/>
      <c r="EK11" s="2"/>
      <c r="EL11" s="2"/>
      <c r="EN11" s="7"/>
      <c r="EP11" s="7"/>
      <c r="ER11" s="7"/>
      <c r="ET11" s="7"/>
      <c r="EU11" s="7"/>
      <c r="EV11" s="7"/>
      <c r="EW11" s="7"/>
      <c r="EY11" s="7"/>
      <c r="FA11" s="7"/>
      <c r="FC11" s="7"/>
      <c r="FE11" s="7"/>
      <c r="FF11" s="7"/>
      <c r="FG11" s="7"/>
      <c r="FH11" s="7"/>
      <c r="FJ11" s="7"/>
      <c r="FL11" s="7"/>
      <c r="FN11" s="7"/>
      <c r="FP11" s="7"/>
      <c r="FR11" s="7"/>
      <c r="FS11" s="7"/>
      <c r="FT11" s="7"/>
      <c r="FU11" s="7"/>
      <c r="FW11" s="7"/>
      <c r="FY11" s="7"/>
      <c r="GA11" s="7"/>
      <c r="GC11" s="7"/>
      <c r="GE11" s="7"/>
      <c r="GF11" s="7"/>
      <c r="GG11" s="7"/>
      <c r="GH11" s="7"/>
      <c r="GJ11" s="7"/>
      <c r="GL11" s="7"/>
      <c r="GN11" s="7"/>
      <c r="GP11" s="7"/>
      <c r="GQ11" s="2"/>
      <c r="GR11" s="2"/>
      <c r="GS11" s="2"/>
    </row>
    <row r="12" spans="1:204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 t="shared" ref="L12:S12" si="1">(L7+L8+L11)/3</f>
        <v>40.373333333333335</v>
      </c>
      <c r="M12" s="275">
        <f t="shared" si="1"/>
        <v>41.183333333333337</v>
      </c>
      <c r="N12" s="275">
        <f t="shared" si="1"/>
        <v>39.913333333333334</v>
      </c>
      <c r="O12" s="55">
        <f t="shared" si="1"/>
        <v>40.49</v>
      </c>
      <c r="P12" s="275">
        <f t="shared" si="1"/>
        <v>33.313333333333333</v>
      </c>
      <c r="Q12" s="55">
        <f t="shared" si="1"/>
        <v>35.1</v>
      </c>
      <c r="R12" s="275">
        <f t="shared" si="1"/>
        <v>33.563333333333333</v>
      </c>
      <c r="S12" s="275">
        <f t="shared" si="1"/>
        <v>33.992222222222217</v>
      </c>
      <c r="T12" s="55"/>
      <c r="U12" s="37"/>
      <c r="V12" s="37"/>
      <c r="W12" s="19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1"/>
      <c r="AI12" s="21"/>
      <c r="AJ12" s="20"/>
      <c r="AK12" s="31"/>
      <c r="AL12" s="99">
        <f>AL11/AK13</f>
        <v>0.17259999999999998</v>
      </c>
      <c r="AM12" s="31"/>
      <c r="AN12" s="99">
        <f>AN11/AM13</f>
        <v>0.36199999999999999</v>
      </c>
      <c r="AO12" s="31"/>
      <c r="AP12" s="99">
        <f>AP11/AO13</f>
        <v>0.24990000000000004</v>
      </c>
      <c r="AQ12" s="31"/>
      <c r="AR12" s="99">
        <f>AR11/AQ13</f>
        <v>0.39019999999999999</v>
      </c>
      <c r="AS12" s="31"/>
      <c r="AT12" s="99">
        <f>AT11/AS13</f>
        <v>0.39350000000000002</v>
      </c>
      <c r="AU12" s="2">
        <f>AVERAGE(AL12,AN12,AP12,AR12,AT12)</f>
        <v>0.31364000000000003</v>
      </c>
      <c r="AV12" s="31"/>
      <c r="AW12" s="31"/>
      <c r="AX12" s="31"/>
      <c r="AY12" s="31"/>
      <c r="AZ12" s="31"/>
      <c r="BA12" s="31"/>
      <c r="BB12" s="31"/>
      <c r="BC12" s="31"/>
      <c r="BD12" s="20"/>
      <c r="BE12" s="66"/>
      <c r="BF12" s="66"/>
      <c r="BG12" s="66"/>
      <c r="BH12" s="66"/>
      <c r="BI12" s="66"/>
      <c r="BJ12" s="66"/>
      <c r="BK12" s="21"/>
      <c r="BL12" s="66"/>
      <c r="BM12" s="66"/>
      <c r="BN12" s="21"/>
      <c r="BO12" s="66"/>
      <c r="BP12" s="66"/>
      <c r="BQ12" s="66"/>
      <c r="BR12" s="66"/>
      <c r="BS12" s="66"/>
      <c r="BT12" s="66"/>
      <c r="BU12" s="21"/>
      <c r="BV12" s="66"/>
      <c r="BW12" s="66"/>
      <c r="BX12" s="16"/>
      <c r="BY12" s="66"/>
      <c r="BZ12" s="66"/>
      <c r="CA12" s="66"/>
      <c r="CB12" s="66"/>
      <c r="CC12" s="66"/>
      <c r="CD12" s="66"/>
      <c r="CE12" s="21"/>
      <c r="CF12" s="66"/>
      <c r="CG12" s="66"/>
      <c r="CH12" s="16"/>
      <c r="CM12" s="20"/>
      <c r="CN12" s="19"/>
      <c r="CO12" s="20"/>
      <c r="CP12" s="16"/>
      <c r="CQ12" s="20"/>
      <c r="CR12" s="16"/>
      <c r="CS12" s="20"/>
      <c r="CT12" s="16"/>
      <c r="CU12" s="20"/>
      <c r="CV12" s="19"/>
      <c r="CW12" s="20"/>
      <c r="CX12" s="16"/>
      <c r="CY12" s="20"/>
      <c r="CZ12" s="16"/>
      <c r="DA12" s="16"/>
      <c r="DB12" s="16"/>
      <c r="DC12" s="16"/>
      <c r="DI12" s="6"/>
      <c r="DJ12" s="2"/>
      <c r="DL12" s="8"/>
      <c r="DN12" s="8"/>
      <c r="DO12" s="8"/>
      <c r="DP12" s="8"/>
      <c r="DQ12" s="8"/>
      <c r="DR12" s="8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P12" s="5"/>
      <c r="EZ12" s="2"/>
    </row>
    <row r="13" spans="1:204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>
        <v>40</v>
      </c>
      <c r="T13" s="55"/>
      <c r="U13" s="37"/>
      <c r="V13" s="37"/>
      <c r="W13" s="19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2"/>
      <c r="AI13" s="22"/>
      <c r="AJ13" s="44"/>
      <c r="AK13" s="32">
        <v>1000</v>
      </c>
      <c r="AL13" s="59"/>
      <c r="AM13" s="59">
        <v>3000</v>
      </c>
      <c r="AN13" s="59"/>
      <c r="AO13" s="59">
        <v>4000</v>
      </c>
      <c r="AP13" s="59"/>
      <c r="AQ13" s="59">
        <v>6000</v>
      </c>
      <c r="AR13" s="59"/>
      <c r="AS13" s="59">
        <v>8000</v>
      </c>
      <c r="AT13" s="32"/>
      <c r="AU13" s="22"/>
      <c r="AV13" s="32"/>
      <c r="AW13" s="32"/>
      <c r="AX13" s="32"/>
      <c r="AY13" s="32"/>
      <c r="AZ13" s="32"/>
      <c r="BA13" s="32"/>
      <c r="BB13" s="32"/>
      <c r="BC13" s="32"/>
      <c r="BD13" s="44"/>
      <c r="BE13" s="67"/>
      <c r="BF13" s="67"/>
      <c r="BG13" s="67"/>
      <c r="BH13" s="67"/>
      <c r="BI13" s="67"/>
      <c r="BJ13" s="67"/>
      <c r="BK13" s="22"/>
      <c r="BL13" s="67"/>
      <c r="BM13" s="67"/>
      <c r="BN13" s="22"/>
      <c r="BO13" s="67"/>
      <c r="BP13" s="67"/>
      <c r="BQ13" s="67"/>
      <c r="BR13" s="67"/>
      <c r="BS13" s="67"/>
      <c r="BT13" s="67"/>
      <c r="BU13" s="22"/>
      <c r="BV13" s="67"/>
      <c r="BW13" s="67"/>
      <c r="BX13" s="19"/>
      <c r="BY13" s="67"/>
      <c r="BZ13" s="67"/>
      <c r="CA13" s="67"/>
      <c r="CB13" s="67"/>
      <c r="CC13" s="67"/>
      <c r="CD13" s="67"/>
      <c r="CE13" s="22"/>
      <c r="CF13" s="67"/>
      <c r="CG13" s="67"/>
      <c r="CH13" s="16"/>
      <c r="CM13" s="44"/>
      <c r="CN13" s="16"/>
      <c r="CO13" s="44"/>
      <c r="CP13" s="16"/>
      <c r="CQ13" s="44"/>
      <c r="CR13" s="16"/>
      <c r="CS13" s="44"/>
      <c r="CT13" s="16"/>
      <c r="CU13" s="44"/>
      <c r="CV13" s="16"/>
      <c r="CW13" s="44"/>
      <c r="CX13" s="16"/>
      <c r="CY13" s="44"/>
      <c r="CZ13" s="19"/>
      <c r="DA13" s="19"/>
      <c r="DB13" s="19"/>
      <c r="DC13" s="19"/>
      <c r="DD13" s="1"/>
      <c r="DE13" s="1"/>
      <c r="DI13" s="6"/>
      <c r="DJ13" s="2"/>
      <c r="DL13" s="8"/>
      <c r="DN13" s="8"/>
      <c r="DO13" s="8"/>
      <c r="DP13" s="8"/>
      <c r="DQ13" s="8"/>
      <c r="DR13" s="8"/>
      <c r="DS13" s="14"/>
      <c r="DT13" s="15"/>
      <c r="DU13" s="15"/>
      <c r="DV13" s="15"/>
      <c r="DW13" s="15"/>
      <c r="DX13" s="15"/>
      <c r="DY13" s="15"/>
      <c r="DZ13" s="15"/>
      <c r="EA13" s="14"/>
      <c r="EB13" s="14"/>
      <c r="EC13" s="14"/>
      <c r="EF13" s="2"/>
      <c r="EX13" s="2"/>
    </row>
    <row r="14" spans="1:204" ht="15.75" x14ac:dyDescent="0.25">
      <c r="A14" t="s">
        <v>11</v>
      </c>
      <c r="B14" s="29">
        <f>ABS(B11-B13)/B13</f>
        <v>1.5992500000000001</v>
      </c>
      <c r="C14" s="33"/>
      <c r="D14" s="30">
        <f>ABS(D11-D13)/D13</f>
        <v>2.2749999999999916E-2</v>
      </c>
      <c r="E14" s="34"/>
      <c r="F14" s="30">
        <f>ABS(F11-F13)/F13</f>
        <v>0.13925000000000001</v>
      </c>
      <c r="G14" s="34"/>
      <c r="H14" s="34"/>
      <c r="I14" s="34"/>
      <c r="J14" s="34"/>
      <c r="K14" s="38"/>
      <c r="L14" s="30">
        <f t="shared" ref="L14:S14" si="2">(L12-L13)/L13</f>
        <v>9.3333333333333705E-3</v>
      </c>
      <c r="M14" s="30">
        <f t="shared" si="2"/>
        <v>2.9583333333333427E-2</v>
      </c>
      <c r="N14" s="30">
        <f t="shared" si="2"/>
        <v>-2.1666666666666501E-3</v>
      </c>
      <c r="O14" s="30">
        <f t="shared" si="2"/>
        <v>1.2250000000000049E-2</v>
      </c>
      <c r="P14" s="30">
        <f t="shared" si="2"/>
        <v>-0.16716666666666669</v>
      </c>
      <c r="Q14" s="30">
        <f t="shared" si="2"/>
        <v>-0.12249999999999997</v>
      </c>
      <c r="R14" s="30">
        <f t="shared" si="2"/>
        <v>-0.16091666666666668</v>
      </c>
      <c r="S14" s="54">
        <f t="shared" si="2"/>
        <v>-0.15019444444444457</v>
      </c>
      <c r="T14" s="56"/>
      <c r="U14" s="19"/>
      <c r="V14" s="19"/>
      <c r="W14" s="19"/>
      <c r="X14" s="49"/>
      <c r="Y14" s="23"/>
      <c r="Z14" s="49"/>
      <c r="AA14" s="38"/>
      <c r="AB14" s="49"/>
      <c r="AC14" s="38"/>
      <c r="AD14" s="38"/>
      <c r="AE14" s="38"/>
      <c r="AF14" s="38"/>
      <c r="AG14" s="38"/>
      <c r="AH14" s="38"/>
      <c r="AI14" s="38"/>
      <c r="AJ14" s="16"/>
      <c r="AK14" s="100">
        <f>ABS(AL11-AK13)/AK13</f>
        <v>0.82740000000000014</v>
      </c>
      <c r="AL14" s="61"/>
      <c r="AM14" s="100">
        <f>ABS(AN11-AM13)/AM13</f>
        <v>0.63800000000000001</v>
      </c>
      <c r="AN14" s="62"/>
      <c r="AO14" s="100">
        <f>ABS(AP11-AO13)/AO13</f>
        <v>0.75009999999999988</v>
      </c>
      <c r="AP14" s="62"/>
      <c r="AQ14" s="100">
        <f>ABS(AR11-AQ13)/AQ13</f>
        <v>0.60980000000000001</v>
      </c>
      <c r="AR14" s="62"/>
      <c r="AS14" s="100">
        <f>ABS(AT11-AS13)/AS13</f>
        <v>0.60650000000000004</v>
      </c>
      <c r="AT14" s="16"/>
      <c r="AU14" s="45"/>
      <c r="AV14" s="38"/>
      <c r="AW14" s="36"/>
      <c r="AX14" s="38"/>
      <c r="AY14" s="36"/>
      <c r="AZ14" s="38"/>
      <c r="BA14" s="38"/>
      <c r="BB14" s="38"/>
      <c r="BC14" s="38"/>
      <c r="BD14" s="16"/>
      <c r="BE14" s="23"/>
      <c r="BF14" s="23"/>
      <c r="BG14" s="38"/>
      <c r="BH14" s="38"/>
      <c r="BI14" s="38"/>
      <c r="BJ14" s="38"/>
      <c r="BK14" s="38"/>
      <c r="BL14" s="38"/>
      <c r="BM14" s="38"/>
      <c r="BN14" s="20"/>
      <c r="BO14" s="23"/>
      <c r="BP14" s="23"/>
      <c r="BQ14" s="23"/>
      <c r="BR14" s="38"/>
      <c r="BS14" s="23"/>
      <c r="BT14" s="38"/>
      <c r="BU14" s="38"/>
      <c r="BV14" s="38"/>
      <c r="BW14" s="38"/>
      <c r="BX14" s="16"/>
      <c r="BY14" s="38"/>
      <c r="BZ14" s="23"/>
      <c r="CA14" s="38"/>
      <c r="CB14" s="38"/>
      <c r="CC14" s="38"/>
      <c r="CD14" s="38"/>
      <c r="CE14" s="38"/>
      <c r="CF14" s="38"/>
      <c r="CG14" s="38"/>
      <c r="CH14" s="16"/>
      <c r="CM14" s="19"/>
      <c r="CN14" s="19"/>
      <c r="CO14" s="19"/>
      <c r="CP14" s="19"/>
      <c r="CQ14" s="19"/>
      <c r="CR14" s="19"/>
      <c r="CS14" s="19"/>
      <c r="CT14" s="16"/>
      <c r="CU14" s="16"/>
      <c r="CV14" s="16"/>
      <c r="CW14" s="47"/>
      <c r="CX14" s="16"/>
      <c r="CY14" s="16"/>
      <c r="CZ14" s="16"/>
      <c r="DA14" s="16"/>
      <c r="DB14" s="16"/>
      <c r="DC14" s="16"/>
      <c r="DI14" s="6"/>
      <c r="DJ14" s="2"/>
      <c r="DL14" s="8"/>
      <c r="DN14" s="8"/>
      <c r="DO14" s="8"/>
      <c r="DP14" s="8"/>
      <c r="DQ14" s="8"/>
      <c r="DR14" s="8"/>
      <c r="DS14" s="14"/>
      <c r="DT14" s="42"/>
      <c r="DU14" s="42"/>
      <c r="DV14" s="42"/>
      <c r="DW14" s="42"/>
      <c r="DX14" s="42"/>
      <c r="DY14" s="42"/>
      <c r="DZ14" s="42"/>
      <c r="EA14" s="15"/>
      <c r="EB14" s="14"/>
      <c r="EC14" s="14"/>
    </row>
    <row r="15" spans="1:204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V15" s="35"/>
      <c r="W15" s="68" t="s">
        <v>79</v>
      </c>
      <c r="X15" s="30">
        <f>AVERAGE(Y8,Y19)</f>
        <v>1.0639199357148077</v>
      </c>
      <c r="Y15" s="71"/>
      <c r="Z15" s="30">
        <f>AVERAGE(AA8,AA19)</f>
        <v>1.0066476733143401</v>
      </c>
      <c r="AA15" s="71"/>
      <c r="AB15" s="30">
        <f>AVERAGE(AC8,AC19)</f>
        <v>1.0696179414128133</v>
      </c>
      <c r="AC15" s="71"/>
      <c r="AD15" s="30">
        <f>AVERAGE(AE8,AE19)</f>
        <v>1.1208999926948646</v>
      </c>
      <c r="AE15" s="71"/>
      <c r="AF15" s="30">
        <f>AVERAGE(AG8,AG19)</f>
        <v>1.0902184235517569</v>
      </c>
      <c r="AG15" s="16"/>
      <c r="AH15" s="16"/>
      <c r="AI15" s="16"/>
      <c r="AJ15" s="68" t="s">
        <v>80</v>
      </c>
      <c r="AK15" s="103">
        <f>AVERAGE(AL11,AL22)</f>
        <v>511.4</v>
      </c>
      <c r="AL15" s="71"/>
      <c r="AM15" s="103">
        <f>AVERAGE(AN11,AN22)</f>
        <v>1947.1999999999998</v>
      </c>
      <c r="AN15" s="71"/>
      <c r="AO15" s="103">
        <f>AVERAGE(AP11,AP22)</f>
        <v>1950</v>
      </c>
      <c r="AP15" s="71"/>
      <c r="AQ15" s="103">
        <f>AVERAGE(AR11,AR22)</f>
        <v>3551.7999999999997</v>
      </c>
      <c r="AR15" s="71"/>
      <c r="AS15" s="103">
        <f>AVERAGE(AT11,AT22)</f>
        <v>4586</v>
      </c>
      <c r="AT15" s="16"/>
      <c r="AU15" s="16"/>
      <c r="AV15" s="16"/>
      <c r="AW15" s="16"/>
      <c r="AX15" s="16"/>
      <c r="AY15" s="20"/>
      <c r="AZ15" s="16"/>
      <c r="BA15" s="16"/>
      <c r="BB15" s="16"/>
      <c r="BC15" s="16"/>
      <c r="BD15" s="16"/>
      <c r="BE15" s="16"/>
      <c r="BF15" s="16"/>
      <c r="BG15" s="19"/>
      <c r="BH15" s="19"/>
      <c r="BI15" s="19"/>
      <c r="BJ15" s="19"/>
      <c r="BK15" s="19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20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I15" s="6"/>
      <c r="DJ15" s="2"/>
      <c r="DL15" s="8"/>
      <c r="DN15" s="8"/>
      <c r="DO15" s="8"/>
      <c r="DP15" s="8"/>
      <c r="DQ15" s="8"/>
      <c r="DR15" s="8"/>
      <c r="DS15" s="14"/>
      <c r="DT15" s="42"/>
      <c r="DU15" s="42"/>
      <c r="DV15" s="42"/>
      <c r="DW15" s="42"/>
      <c r="DX15" s="42"/>
      <c r="DY15" s="42"/>
      <c r="DZ15" s="42"/>
      <c r="EA15" s="14"/>
      <c r="EB15" s="14"/>
      <c r="EC15" s="14"/>
    </row>
    <row r="16" spans="1:204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9"/>
      <c r="BH16" s="19"/>
      <c r="BI16" s="19"/>
      <c r="BJ16" s="19"/>
      <c r="BK16" s="19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I16" s="6"/>
      <c r="DJ16" s="2"/>
      <c r="DL16" s="8"/>
      <c r="DN16" s="8"/>
      <c r="DO16" s="8"/>
      <c r="DP16" s="8"/>
      <c r="DQ16" s="8"/>
      <c r="DR16" s="8"/>
      <c r="DS16" s="14"/>
      <c r="DT16" s="42"/>
      <c r="DU16" s="42"/>
      <c r="DV16" s="42"/>
      <c r="DW16" s="42"/>
      <c r="DX16" s="42"/>
      <c r="DY16" s="42"/>
      <c r="DZ16" s="42"/>
      <c r="EA16" s="14"/>
      <c r="EB16" s="14"/>
      <c r="EC16" s="14"/>
    </row>
    <row r="17" spans="1:133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57"/>
      <c r="R17" s="17"/>
      <c r="S17" s="18"/>
      <c r="T17" s="17"/>
      <c r="U17" s="17"/>
      <c r="V17" s="17"/>
      <c r="W17" s="18"/>
      <c r="X17" s="24" t="s">
        <v>61</v>
      </c>
      <c r="Y17" s="25" t="s">
        <v>16</v>
      </c>
      <c r="Z17" s="26" t="s">
        <v>62</v>
      </c>
      <c r="AA17" s="25" t="s">
        <v>16</v>
      </c>
      <c r="AB17" s="26" t="s">
        <v>63</v>
      </c>
      <c r="AC17" s="25" t="s">
        <v>16</v>
      </c>
      <c r="AD17" s="26" t="s">
        <v>64</v>
      </c>
      <c r="AE17" s="25" t="s">
        <v>16</v>
      </c>
      <c r="AF17" s="26" t="s">
        <v>65</v>
      </c>
      <c r="AG17" s="25" t="s">
        <v>16</v>
      </c>
      <c r="AH17" s="17"/>
      <c r="AI17" s="17"/>
      <c r="AJ17" s="18"/>
      <c r="AK17" s="24" t="s">
        <v>66</v>
      </c>
      <c r="AL17" s="25" t="s">
        <v>16</v>
      </c>
      <c r="AM17" s="26" t="s">
        <v>67</v>
      </c>
      <c r="AN17" s="25" t="s">
        <v>16</v>
      </c>
      <c r="AO17" s="26" t="s">
        <v>68</v>
      </c>
      <c r="AP17" s="25" t="s">
        <v>16</v>
      </c>
      <c r="AQ17" s="26" t="s">
        <v>69</v>
      </c>
      <c r="AR17" s="25" t="s">
        <v>16</v>
      </c>
      <c r="AS17" s="26" t="s">
        <v>70</v>
      </c>
      <c r="AT17" s="25" t="s">
        <v>16</v>
      </c>
      <c r="AU17" s="17"/>
      <c r="AV17" s="18"/>
      <c r="AW17" s="60"/>
      <c r="AX17" s="18"/>
      <c r="AY17" s="60"/>
      <c r="AZ17" s="18"/>
      <c r="BA17" s="17"/>
      <c r="BB17" s="17"/>
      <c r="BC17" s="17"/>
      <c r="BD17" s="18"/>
      <c r="BE17" s="63"/>
      <c r="BF17" s="18"/>
      <c r="BG17" s="64"/>
      <c r="BH17" s="18"/>
      <c r="BI17" s="64"/>
      <c r="BJ17" s="18"/>
      <c r="BK17" s="17"/>
      <c r="BL17" s="63"/>
      <c r="BM17" s="63"/>
      <c r="BN17" s="17"/>
      <c r="BO17" s="65"/>
      <c r="BP17" s="18"/>
      <c r="BQ17" s="64"/>
      <c r="BR17" s="18"/>
      <c r="BS17" s="64"/>
      <c r="BT17" s="18"/>
      <c r="BU17" s="17"/>
      <c r="BV17" s="63"/>
      <c r="BW17" s="63"/>
      <c r="BX17" s="16"/>
      <c r="BY17" s="65"/>
      <c r="BZ17" s="18"/>
      <c r="CA17" s="64"/>
      <c r="CB17" s="18"/>
      <c r="CC17" s="64"/>
      <c r="CD17" s="18"/>
      <c r="CE17" s="17"/>
      <c r="CF17" s="63"/>
      <c r="CG17" s="63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I17" s="6"/>
      <c r="DJ17" s="2"/>
      <c r="DL17" s="8"/>
      <c r="DN17" s="8"/>
      <c r="DO17" s="8"/>
      <c r="DP17" s="8"/>
      <c r="DQ17" s="8"/>
      <c r="DR17" s="8"/>
      <c r="DS17" s="14"/>
      <c r="DT17" s="42"/>
      <c r="DU17" s="42"/>
      <c r="DV17" s="42"/>
      <c r="DW17" s="42"/>
      <c r="DX17" s="42"/>
      <c r="DY17" s="42"/>
      <c r="DZ17" s="42"/>
      <c r="EA17" s="14"/>
      <c r="EB17" s="14"/>
      <c r="EC17" s="14"/>
    </row>
    <row r="18" spans="1:133" x14ac:dyDescent="0.25">
      <c r="B18" s="12">
        <v>1.89</v>
      </c>
      <c r="C18" s="29">
        <f>B18/AVERAGE($N7,$M7,$R7,$Q7)</f>
        <v>5.4494341526706555E-2</v>
      </c>
      <c r="D18" s="12">
        <v>2.54</v>
      </c>
      <c r="E18" s="29">
        <f>D18/AVERAGE($N7,$M7,$R7,$Q7)</f>
        <v>7.3235781734304048E-2</v>
      </c>
      <c r="F18" s="12">
        <v>2.35</v>
      </c>
      <c r="G18" s="29">
        <f>F18/AVERAGE($N7,$M7,$R7,$Q7)</f>
        <v>6.7757514596698626E-2</v>
      </c>
      <c r="H18" s="33"/>
      <c r="I18" s="12">
        <f>AVERAGE(B18,D18,F18)</f>
        <v>2.2599999999999998</v>
      </c>
      <c r="J18" s="30">
        <f>STDEV(B18,D18,F18)/I18</f>
        <v>0.14788296431034156</v>
      </c>
      <c r="K18" s="1"/>
      <c r="L18" s="58"/>
      <c r="M18" s="58"/>
      <c r="N18" s="58"/>
      <c r="O18" s="58"/>
      <c r="P18" s="58"/>
      <c r="Q18" s="58"/>
      <c r="R18" s="1"/>
      <c r="T18" s="38"/>
      <c r="U18" s="38"/>
      <c r="V18" s="38"/>
      <c r="W18" s="16"/>
      <c r="X18" s="28">
        <v>2.36</v>
      </c>
      <c r="Y18" s="29">
        <f>X18/AVERAGE($N7,$M7,$R7,$Q7)</f>
        <v>6.8045844446046277E-2</v>
      </c>
      <c r="Z18" s="12">
        <v>1.9</v>
      </c>
      <c r="AA18" s="29">
        <f>Z18/AVERAGE($N7,$M7,$R7,$Q7)</f>
        <v>5.4782671376054207E-2</v>
      </c>
      <c r="AB18" s="12">
        <v>1.99</v>
      </c>
      <c r="AC18" s="29">
        <f>AB18/AVERAGE($N7,$M7,$R7,$Q7)</f>
        <v>5.7377640020183092E-2</v>
      </c>
      <c r="AD18" s="12">
        <v>2.11</v>
      </c>
      <c r="AE18" s="29">
        <f>AD18/AVERAGE($N7,$M7,$R7,$Q7)</f>
        <v>6.0837598212354932E-2</v>
      </c>
      <c r="AF18" s="12">
        <v>2.56</v>
      </c>
      <c r="AG18" s="29">
        <f>AF18/AVERAGE($N7,$M7,$R7,$Q7)</f>
        <v>7.3812441432999365E-2</v>
      </c>
      <c r="AH18" s="16"/>
      <c r="AI18" s="38"/>
      <c r="AJ18" s="20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43"/>
      <c r="AV18" s="23"/>
      <c r="AW18" s="16"/>
      <c r="AX18" s="23"/>
      <c r="AY18" s="16"/>
      <c r="AZ18" s="23"/>
      <c r="BA18" s="23"/>
      <c r="BB18" s="16"/>
      <c r="BC18" s="38"/>
      <c r="BD18" s="20"/>
      <c r="BE18" s="43"/>
      <c r="BF18" s="23"/>
      <c r="BG18" s="16"/>
      <c r="BH18" s="23"/>
      <c r="BI18" s="16"/>
      <c r="BJ18" s="23"/>
      <c r="BK18" s="23"/>
      <c r="BL18" s="16"/>
      <c r="BM18" s="38"/>
      <c r="BN18" s="16"/>
      <c r="BO18" s="43"/>
      <c r="BP18" s="23"/>
      <c r="BQ18" s="16"/>
      <c r="BR18" s="23"/>
      <c r="BS18" s="16"/>
      <c r="BT18" s="23"/>
      <c r="BU18" s="23"/>
      <c r="BV18" s="16"/>
      <c r="BW18" s="38"/>
      <c r="BX18" s="20"/>
      <c r="BY18" s="43"/>
      <c r="BZ18" s="23"/>
      <c r="CA18" s="16"/>
      <c r="CB18" s="23"/>
      <c r="CC18" s="16"/>
      <c r="CD18" s="23"/>
      <c r="CE18" s="23"/>
      <c r="CF18" s="16"/>
      <c r="CG18" s="38"/>
      <c r="CR18" s="2"/>
      <c r="DI18" s="6"/>
      <c r="DJ18" s="2"/>
      <c r="DL18" s="8"/>
      <c r="DN18" s="8"/>
      <c r="DO18" s="8"/>
      <c r="DP18" s="8"/>
      <c r="DQ18" s="8"/>
      <c r="DR18" s="8"/>
      <c r="DS18" s="14"/>
      <c r="DT18" s="42"/>
      <c r="DU18" s="42"/>
      <c r="DV18" s="42"/>
      <c r="DW18" s="42"/>
      <c r="DX18" s="42"/>
      <c r="DY18" s="42"/>
      <c r="DZ18" s="42"/>
      <c r="EA18" s="14"/>
      <c r="EB18" s="14"/>
      <c r="EC18" s="14"/>
    </row>
    <row r="19" spans="1:133" x14ac:dyDescent="0.25">
      <c r="B19" s="12">
        <v>37.54</v>
      </c>
      <c r="C19" s="30">
        <f>B19/AVERAGE($N8,$M8,$R8,$Q8)</f>
        <v>1.0969391482211996</v>
      </c>
      <c r="D19" s="12">
        <v>35.44</v>
      </c>
      <c r="E19" s="30">
        <f>D19/AVERAGE($N8,$M8,$R8,$Q8)</f>
        <v>1.0355760099349842</v>
      </c>
      <c r="F19" s="12">
        <v>32.35</v>
      </c>
      <c r="G19" s="30">
        <f>F19/AVERAGE($N8,$M8,$R8,$Q8)</f>
        <v>0.94528453502812493</v>
      </c>
      <c r="H19" s="34"/>
      <c r="I19" s="12">
        <f>AVERAGE(B19,D19,F19)</f>
        <v>35.109999999999992</v>
      </c>
      <c r="J19" s="30">
        <f>STDEV(B19,D19,F19)/I19</f>
        <v>7.435743560469163E-2</v>
      </c>
      <c r="K19" s="11"/>
      <c r="L19" s="58"/>
      <c r="M19" s="58"/>
      <c r="N19" s="58"/>
      <c r="O19" s="58"/>
      <c r="P19" s="58"/>
      <c r="Q19" s="58"/>
      <c r="T19" s="38"/>
      <c r="U19" s="38"/>
      <c r="V19" s="38"/>
      <c r="W19" s="16"/>
      <c r="X19" s="28">
        <v>37.67</v>
      </c>
      <c r="Y19" s="30">
        <f>X19/AVERAGE($N8,$M8,$R8,$Q8)</f>
        <v>1.1007378186865369</v>
      </c>
      <c r="Z19" s="12">
        <v>35.18</v>
      </c>
      <c r="AA19" s="30">
        <f>Z19/AVERAGE($N8,$M8,$R8,$Q8)</f>
        <v>1.0279786690043102</v>
      </c>
      <c r="AB19" s="12">
        <v>37.06</v>
      </c>
      <c r="AC19" s="30">
        <f>AB19/AVERAGE($N8,$M8,$R8,$Q8)</f>
        <v>1.0829132880414933</v>
      </c>
      <c r="AD19" s="12">
        <v>38.020000000000003</v>
      </c>
      <c r="AE19" s="30">
        <f>AD19/AVERAGE($N8,$M8,$R8,$Q8)</f>
        <v>1.110965008400906</v>
      </c>
      <c r="AF19" s="12">
        <v>37.9</v>
      </c>
      <c r="AG19" s="30">
        <f>AF19/AVERAGE($N8,$M8,$R8,$Q8)</f>
        <v>1.1074585433559794</v>
      </c>
      <c r="AH19" s="16"/>
      <c r="AI19" s="23"/>
      <c r="AJ19" s="20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43"/>
      <c r="AV19" s="38"/>
      <c r="AW19" s="16"/>
      <c r="AX19" s="38"/>
      <c r="AY19" s="16"/>
      <c r="AZ19" s="38"/>
      <c r="BA19" s="38"/>
      <c r="BB19" s="16"/>
      <c r="BC19" s="38"/>
      <c r="BD19" s="20"/>
      <c r="BE19" s="43"/>
      <c r="BF19" s="38"/>
      <c r="BG19" s="16"/>
      <c r="BH19" s="38"/>
      <c r="BI19" s="16"/>
      <c r="BJ19" s="38"/>
      <c r="BK19" s="38"/>
      <c r="BL19" s="16"/>
      <c r="BM19" s="38"/>
      <c r="BN19" s="16"/>
      <c r="BO19" s="43"/>
      <c r="BP19" s="23"/>
      <c r="BQ19" s="16"/>
      <c r="BR19" s="23"/>
      <c r="BS19" s="16"/>
      <c r="BT19" s="23"/>
      <c r="BU19" s="38"/>
      <c r="BV19" s="16"/>
      <c r="BW19" s="38"/>
      <c r="BX19" s="20"/>
      <c r="BY19" s="43"/>
      <c r="BZ19" s="23"/>
      <c r="CA19" s="16"/>
      <c r="CB19" s="23"/>
      <c r="CC19" s="16"/>
      <c r="CD19" s="23"/>
      <c r="CE19" s="38"/>
      <c r="CF19" s="16"/>
      <c r="CG19" s="38"/>
      <c r="DG19" s="10"/>
      <c r="DH19" s="10"/>
      <c r="DI19" s="10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</row>
    <row r="20" spans="1:133" x14ac:dyDescent="0.25">
      <c r="A20" t="s">
        <v>0</v>
      </c>
      <c r="B20" s="12">
        <v>25.81</v>
      </c>
      <c r="C20" s="29">
        <f>B20/AVERAGE($N9,$M9,$R9,$Q9)</f>
        <v>1.8004883153121731</v>
      </c>
      <c r="D20" s="12">
        <v>15.75</v>
      </c>
      <c r="E20" s="30">
        <f>D20/AVERAGE($N9,$M9,$R9,$Q9)</f>
        <v>1.0987094523892571</v>
      </c>
      <c r="F20" s="12">
        <v>17.100000000000001</v>
      </c>
      <c r="G20" s="30">
        <f>F20/AVERAGE($N9,$M9,$R9,$Q9)</f>
        <v>1.1928845483083363</v>
      </c>
      <c r="H20" s="34"/>
      <c r="I20" s="274">
        <f>AVERAGE(B20,D20,F20)</f>
        <v>19.553333333333335</v>
      </c>
      <c r="J20" s="29">
        <f>STDEV(B20,D20,F20)/I20</f>
        <v>0.27925235588625175</v>
      </c>
      <c r="L20" s="58"/>
      <c r="M20" s="58"/>
      <c r="N20" s="58"/>
      <c r="O20" s="58"/>
      <c r="P20" s="58"/>
      <c r="Q20" s="58"/>
      <c r="T20" s="38"/>
      <c r="U20" s="38"/>
      <c r="V20" s="38"/>
      <c r="W20" s="16"/>
      <c r="X20" s="28"/>
      <c r="Y20" s="12"/>
      <c r="Z20" s="12"/>
      <c r="AA20" s="12"/>
      <c r="AB20" s="12"/>
      <c r="AC20" s="12"/>
      <c r="AD20" s="12"/>
      <c r="AE20" s="12"/>
      <c r="AF20" s="12"/>
      <c r="AG20" s="12"/>
      <c r="AH20" s="16"/>
      <c r="AI20" s="45"/>
      <c r="AJ20" s="43"/>
      <c r="AK20" s="28">
        <v>16.420000000000002</v>
      </c>
      <c r="AL20" s="12">
        <f>AK20/0.5*10</f>
        <v>328.40000000000003</v>
      </c>
      <c r="AM20" s="12">
        <v>50.29</v>
      </c>
      <c r="AN20" s="12">
        <f>AM20/0.5*10</f>
        <v>1005.8</v>
      </c>
      <c r="AO20" s="12">
        <v>25.72</v>
      </c>
      <c r="AP20" s="12">
        <f>AO20/0.5*20</f>
        <v>1028.8</v>
      </c>
      <c r="AQ20" s="12">
        <v>41.57</v>
      </c>
      <c r="AR20" s="12">
        <f>AQ20/0.5*20</f>
        <v>1662.8</v>
      </c>
      <c r="AS20" s="12">
        <v>9.69</v>
      </c>
      <c r="AT20" s="12">
        <f>AS20/0.5*100</f>
        <v>1938</v>
      </c>
      <c r="AU20" s="45"/>
      <c r="AV20" s="45"/>
      <c r="AW20" s="45"/>
      <c r="AX20" s="45"/>
      <c r="AY20" s="45"/>
      <c r="AZ20" s="45"/>
      <c r="BA20" s="45"/>
      <c r="BB20" s="16"/>
      <c r="BC20" s="45"/>
      <c r="BD20" s="19"/>
      <c r="BE20" s="43"/>
      <c r="BF20" s="16"/>
      <c r="BG20" s="16"/>
      <c r="BH20" s="16"/>
      <c r="BI20" s="16"/>
      <c r="BJ20" s="16"/>
      <c r="BK20" s="38"/>
      <c r="BL20" s="16"/>
      <c r="BM20" s="38"/>
      <c r="BN20" s="16"/>
      <c r="BO20" s="43"/>
      <c r="BP20" s="16"/>
      <c r="BQ20" s="16"/>
      <c r="BR20" s="16"/>
      <c r="BS20" s="16"/>
      <c r="BT20" s="16"/>
      <c r="BU20" s="38"/>
      <c r="BV20" s="16"/>
      <c r="BW20" s="38"/>
      <c r="BX20" s="20"/>
      <c r="BY20" s="43"/>
      <c r="BZ20" s="16"/>
      <c r="CA20" s="16"/>
      <c r="CB20" s="16"/>
      <c r="CC20" s="16"/>
      <c r="CD20" s="16"/>
      <c r="CE20" s="38"/>
      <c r="CF20" s="16"/>
      <c r="CG20" s="38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</row>
    <row r="21" spans="1:133" x14ac:dyDescent="0.25">
      <c r="B21" s="12">
        <v>50.29</v>
      </c>
      <c r="C21" s="29">
        <f>B21/AVERAGE($N10,$M10,$R10,$Q10)</f>
        <v>1.7293672627235213</v>
      </c>
      <c r="D21" s="12">
        <v>25.72</v>
      </c>
      <c r="E21" s="30">
        <f>D21/AVERAGE($N10,$M10,$R10,$Q10)</f>
        <v>0.88445667125171934</v>
      </c>
      <c r="F21" s="12">
        <v>34.200000000000003</v>
      </c>
      <c r="G21" s="30">
        <f>F21/AVERAGE($N10,$M10,$R10,$Q10)</f>
        <v>1.1760660247592847</v>
      </c>
      <c r="H21" s="34"/>
      <c r="I21" s="274">
        <f>AVERAGE(B21,D21,F21)</f>
        <v>36.736666666666665</v>
      </c>
      <c r="J21" s="29">
        <f>STDEV(B21,D21,F21)/I21</f>
        <v>0.33971163586871483</v>
      </c>
      <c r="L21" s="58"/>
      <c r="M21" s="58"/>
      <c r="N21" s="58"/>
      <c r="O21" s="58"/>
      <c r="P21" s="58"/>
      <c r="Q21" s="58"/>
      <c r="T21" s="38"/>
      <c r="U21" s="38"/>
      <c r="V21" s="38"/>
      <c r="W21" s="16"/>
      <c r="X21" s="28"/>
      <c r="Y21" s="12"/>
      <c r="Z21" s="12"/>
      <c r="AA21" s="12"/>
      <c r="AB21" s="12"/>
      <c r="AC21" s="12"/>
      <c r="AD21" s="12"/>
      <c r="AE21" s="12"/>
      <c r="AF21" s="12"/>
      <c r="AG21" s="12"/>
      <c r="AH21" s="16"/>
      <c r="AI21" s="45"/>
      <c r="AJ21" s="43"/>
      <c r="AK21" s="28">
        <v>26.09</v>
      </c>
      <c r="AL21" s="12">
        <f>AK21/0.5*10</f>
        <v>521.79999999999995</v>
      </c>
      <c r="AM21" s="12">
        <v>90.13</v>
      </c>
      <c r="AN21" s="12">
        <f>AM21/0.5*10</f>
        <v>1802.6</v>
      </c>
      <c r="AO21" s="12">
        <v>46.79</v>
      </c>
      <c r="AP21" s="12">
        <f>AO21/0.5*20</f>
        <v>1871.6</v>
      </c>
      <c r="AQ21" s="12">
        <v>77.489999999999995</v>
      </c>
      <c r="AR21" s="12">
        <f>AQ21/0.5*20</f>
        <v>3099.6</v>
      </c>
      <c r="AS21" s="12">
        <v>20.43</v>
      </c>
      <c r="AT21" s="12">
        <f>AS21/0.5*100</f>
        <v>4086</v>
      </c>
      <c r="AU21" s="45"/>
      <c r="AV21" s="45"/>
      <c r="AW21" s="45"/>
      <c r="AX21" s="45"/>
      <c r="AY21" s="45"/>
      <c r="AZ21" s="45"/>
      <c r="BA21" s="45"/>
      <c r="BB21" s="16"/>
      <c r="BC21" s="45"/>
      <c r="BD21" s="19"/>
      <c r="BE21" s="43"/>
      <c r="BF21" s="16"/>
      <c r="BG21" s="16"/>
      <c r="BH21" s="16"/>
      <c r="BI21" s="16"/>
      <c r="BJ21" s="16"/>
      <c r="BK21" s="38"/>
      <c r="BL21" s="16"/>
      <c r="BM21" s="38"/>
      <c r="BN21" s="16"/>
      <c r="BO21" s="43"/>
      <c r="BP21" s="16"/>
      <c r="BQ21" s="16"/>
      <c r="BR21" s="16"/>
      <c r="BS21" s="16"/>
      <c r="BT21" s="16"/>
      <c r="BU21" s="38"/>
      <c r="BV21" s="16"/>
      <c r="BW21" s="38"/>
      <c r="BX21" s="20"/>
      <c r="BY21" s="43"/>
      <c r="BZ21" s="16"/>
      <c r="CA21" s="16"/>
      <c r="CB21" s="16"/>
      <c r="CC21" s="16"/>
      <c r="CD21" s="16"/>
      <c r="CE21" s="38"/>
      <c r="CF21" s="16"/>
      <c r="CG21" s="38"/>
      <c r="DG21" s="2"/>
      <c r="DH21" s="2"/>
      <c r="DI21" s="2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</row>
    <row r="22" spans="1:133" x14ac:dyDescent="0.25">
      <c r="A22" t="s">
        <v>20</v>
      </c>
      <c r="B22" s="13">
        <f>B20+B21</f>
        <v>76.099999999999994</v>
      </c>
      <c r="C22" s="29">
        <f>B22/AVERAGE($N11,$M11,$R11,$Q11)</f>
        <v>1.752850397328112</v>
      </c>
      <c r="D22" s="13">
        <f>D20+D21</f>
        <v>41.47</v>
      </c>
      <c r="E22" s="30">
        <f>D22/AVERAGE($N11,$M11,$R11,$Q11)</f>
        <v>0.95519981573188972</v>
      </c>
      <c r="F22" s="13">
        <f>F20+F21</f>
        <v>51.300000000000004</v>
      </c>
      <c r="G22" s="30">
        <f>F22/AVERAGE($N11,$M11,$R11,$Q11)</f>
        <v>1.1816192560175054</v>
      </c>
      <c r="H22" s="34"/>
      <c r="I22" s="12">
        <f>AVERAGE(B22,D22,F22)</f>
        <v>56.29</v>
      </c>
      <c r="J22" s="29">
        <f>STDEV(B22,D22,F22)/I22</f>
        <v>0.31703905545708816</v>
      </c>
      <c r="L22" s="58"/>
      <c r="M22" s="58"/>
      <c r="N22" s="58"/>
      <c r="O22" s="58"/>
      <c r="P22" s="58"/>
      <c r="Q22" s="58"/>
      <c r="T22" s="38"/>
      <c r="U22" s="38"/>
      <c r="V22" s="38"/>
      <c r="W22" s="16"/>
      <c r="X22" s="13"/>
      <c r="Y22" s="12"/>
      <c r="Z22" s="13"/>
      <c r="AA22" s="12"/>
      <c r="AB22" s="12"/>
      <c r="AC22" s="12"/>
      <c r="AD22" s="12"/>
      <c r="AE22" s="12"/>
      <c r="AF22" s="12"/>
      <c r="AG22" s="12"/>
      <c r="AH22" s="16"/>
      <c r="AI22" s="45"/>
      <c r="AJ22" s="43"/>
      <c r="AK22" s="13">
        <f>SUM(AK21,AK20)</f>
        <v>42.510000000000005</v>
      </c>
      <c r="AL22" s="12">
        <f>AK22/0.5*10</f>
        <v>850.2</v>
      </c>
      <c r="AM22" s="13">
        <f>SUM(AM21,AM20)</f>
        <v>140.41999999999999</v>
      </c>
      <c r="AN22" s="12">
        <f>AM22/0.5*10</f>
        <v>2808.3999999999996</v>
      </c>
      <c r="AO22" s="13">
        <f>SUM(AO21,AO20)</f>
        <v>72.509999999999991</v>
      </c>
      <c r="AP22" s="12">
        <f>AO22/0.5*20</f>
        <v>2900.3999999999996</v>
      </c>
      <c r="AQ22" s="13">
        <f>SUM(AQ21,AQ20)</f>
        <v>119.06</v>
      </c>
      <c r="AR22" s="12">
        <f>AQ22/0.5*20</f>
        <v>4762.3999999999996</v>
      </c>
      <c r="AS22" s="13">
        <f>SUM(AS21,AS20)</f>
        <v>30.119999999999997</v>
      </c>
      <c r="AT22" s="12">
        <f>AS22/0.5*100</f>
        <v>6023.9999999999991</v>
      </c>
      <c r="AU22" s="21" t="s">
        <v>78</v>
      </c>
      <c r="AV22" s="45"/>
      <c r="AW22" s="45"/>
      <c r="AX22" s="45"/>
      <c r="AY22" s="45"/>
      <c r="AZ22" s="45"/>
      <c r="BA22" s="45"/>
      <c r="BB22" s="16"/>
      <c r="BC22" s="45"/>
      <c r="BD22" s="19"/>
      <c r="BE22" s="19"/>
      <c r="BF22" s="16"/>
      <c r="BG22" s="19"/>
      <c r="BH22" s="16"/>
      <c r="BI22" s="19"/>
      <c r="BJ22" s="16"/>
      <c r="BK22" s="38"/>
      <c r="BL22" s="16"/>
      <c r="BM22" s="38"/>
      <c r="BN22" s="19"/>
      <c r="BO22" s="19"/>
      <c r="BP22" s="16"/>
      <c r="BQ22" s="19"/>
      <c r="BR22" s="16"/>
      <c r="BS22" s="19"/>
      <c r="BT22" s="16"/>
      <c r="BU22" s="38"/>
      <c r="BV22" s="16"/>
      <c r="BW22" s="38"/>
      <c r="BX22" s="20"/>
      <c r="BY22" s="19"/>
      <c r="BZ22" s="16"/>
      <c r="CA22" s="19"/>
      <c r="CB22" s="16"/>
      <c r="CC22" s="19"/>
      <c r="CD22" s="16"/>
      <c r="CE22" s="38"/>
      <c r="CF22" s="16"/>
      <c r="CG22" s="38"/>
      <c r="DG22" s="2"/>
      <c r="DH22" s="2"/>
      <c r="DI22" s="2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</row>
    <row r="23" spans="1:133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37"/>
      <c r="R23" s="1"/>
      <c r="S23" s="1"/>
      <c r="T23" s="37"/>
      <c r="U23" s="37"/>
      <c r="V23" s="37"/>
      <c r="W23" s="19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1"/>
      <c r="AI23" s="21"/>
      <c r="AJ23" s="20"/>
      <c r="AK23" s="31"/>
      <c r="AL23" s="69">
        <f>AL22/AK24</f>
        <v>0.85020000000000007</v>
      </c>
      <c r="AM23" s="31"/>
      <c r="AN23" s="69">
        <f>AN22/AM24</f>
        <v>0.93613333333333326</v>
      </c>
      <c r="AO23" s="31"/>
      <c r="AP23" s="69">
        <f>AP22/AO24</f>
        <v>0.72509999999999986</v>
      </c>
      <c r="AQ23" s="31"/>
      <c r="AR23" s="69">
        <f>AR22/AQ24</f>
        <v>0.79373333333333329</v>
      </c>
      <c r="AS23" s="31"/>
      <c r="AT23" s="69">
        <f>AT22/AS24</f>
        <v>0.75299999999999989</v>
      </c>
      <c r="AU23" s="2">
        <f>AVERAGE(AL23,AN23,AP23,AR23,AT23)</f>
        <v>0.81163333333333332</v>
      </c>
      <c r="AV23" s="73"/>
      <c r="AW23" s="21"/>
      <c r="AX23" s="21"/>
      <c r="AY23" s="21"/>
      <c r="AZ23" s="21"/>
      <c r="BA23" s="21"/>
      <c r="BB23" s="21"/>
      <c r="BC23" s="21"/>
      <c r="BD23" s="20"/>
      <c r="BE23" s="66"/>
      <c r="BF23" s="66"/>
      <c r="BG23" s="66"/>
      <c r="BH23" s="66"/>
      <c r="BI23" s="66"/>
      <c r="BJ23" s="66"/>
      <c r="BK23" s="21"/>
      <c r="BL23" s="66"/>
      <c r="BM23" s="66"/>
      <c r="BN23" s="21"/>
      <c r="BO23" s="66"/>
      <c r="BP23" s="66"/>
      <c r="BQ23" s="66"/>
      <c r="BR23" s="66"/>
      <c r="BS23" s="66"/>
      <c r="BT23" s="66"/>
      <c r="BU23" s="21"/>
      <c r="BV23" s="66"/>
      <c r="BW23" s="66"/>
      <c r="BX23" s="16"/>
      <c r="BY23" s="66"/>
      <c r="BZ23" s="66"/>
      <c r="CA23" s="66"/>
      <c r="CB23" s="66"/>
      <c r="CC23" s="66"/>
      <c r="CD23" s="66"/>
      <c r="CE23" s="21"/>
      <c r="CF23" s="66"/>
      <c r="CG23" s="66"/>
    </row>
    <row r="24" spans="1:133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19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2"/>
      <c r="AI24" s="22"/>
      <c r="AJ24" s="44"/>
      <c r="AK24" s="32">
        <v>1000</v>
      </c>
      <c r="AL24" s="32"/>
      <c r="AM24" s="32">
        <v>3000</v>
      </c>
      <c r="AN24" s="32"/>
      <c r="AO24" s="32">
        <v>4000</v>
      </c>
      <c r="AP24" s="32"/>
      <c r="AQ24" s="32">
        <v>6000</v>
      </c>
      <c r="AR24" s="32"/>
      <c r="AS24" s="32">
        <v>8000</v>
      </c>
      <c r="AT24" s="32"/>
      <c r="AU24" s="22"/>
      <c r="AV24" s="22"/>
      <c r="AW24" s="22"/>
      <c r="AX24" s="22"/>
      <c r="AY24" s="22"/>
      <c r="AZ24" s="22"/>
      <c r="BA24" s="22"/>
      <c r="BB24" s="22"/>
      <c r="BC24" s="22"/>
      <c r="BD24" s="44"/>
      <c r="BE24" s="67"/>
      <c r="BF24" s="67"/>
      <c r="BG24" s="67"/>
      <c r="BH24" s="67"/>
      <c r="BI24" s="67"/>
      <c r="BJ24" s="67"/>
      <c r="BK24" s="22"/>
      <c r="BL24" s="67"/>
      <c r="BM24" s="67"/>
      <c r="BN24" s="22"/>
      <c r="BO24" s="67"/>
      <c r="BP24" s="67"/>
      <c r="BQ24" s="67"/>
      <c r="BR24" s="67"/>
      <c r="BS24" s="67"/>
      <c r="BT24" s="67"/>
      <c r="BU24" s="22"/>
      <c r="BV24" s="67"/>
      <c r="BW24" s="67"/>
      <c r="BX24" s="19"/>
      <c r="BY24" s="67"/>
      <c r="BZ24" s="67"/>
      <c r="CA24" s="67"/>
      <c r="CB24" s="67"/>
      <c r="CC24" s="67"/>
      <c r="CD24" s="67"/>
      <c r="CE24" s="22"/>
      <c r="CF24" s="67"/>
      <c r="CG24" s="67"/>
    </row>
    <row r="25" spans="1:133" x14ac:dyDescent="0.25">
      <c r="A25" t="s">
        <v>2</v>
      </c>
      <c r="B25" s="29">
        <f>ABS(B22-B24)/B24</f>
        <v>0.90249999999999986</v>
      </c>
      <c r="C25" s="33"/>
      <c r="D25" s="30">
        <f>ABS(D22-D24)/D24</f>
        <v>3.674999999999997E-2</v>
      </c>
      <c r="E25" s="34"/>
      <c r="F25" s="29">
        <f>ABS(F22-F24)/F24</f>
        <v>0.28250000000000008</v>
      </c>
      <c r="G25" s="34"/>
      <c r="H25" s="34"/>
      <c r="I25" s="34"/>
      <c r="J25" s="34"/>
      <c r="L25" s="23"/>
      <c r="M25" s="23"/>
      <c r="N25" s="23"/>
      <c r="O25" s="23"/>
      <c r="P25" s="23"/>
      <c r="Q25" s="23"/>
      <c r="R25" s="38"/>
      <c r="S25" s="38"/>
      <c r="T25" s="19"/>
      <c r="U25" s="19"/>
      <c r="V25" s="19"/>
      <c r="W25" s="19"/>
      <c r="X25" s="45"/>
      <c r="Y25" s="23"/>
      <c r="Z25" s="45"/>
      <c r="AA25" s="38"/>
      <c r="AB25" s="45"/>
      <c r="AC25" s="38"/>
      <c r="AD25" s="38"/>
      <c r="AE25" s="38"/>
      <c r="AF25" s="38"/>
      <c r="AG25" s="38"/>
      <c r="AH25" s="38"/>
      <c r="AI25" s="38"/>
      <c r="AJ25" s="16"/>
      <c r="AK25" s="30">
        <f>ABS(AL22-AK24)/AK24</f>
        <v>0.14979999999999996</v>
      </c>
      <c r="AL25" s="23"/>
      <c r="AM25" s="30">
        <f>ABS(AN22-AM24)/AM24</f>
        <v>6.3866666666666794E-2</v>
      </c>
      <c r="AN25" s="38"/>
      <c r="AO25" s="98">
        <f>ABS(AP22-AO24)/AO24</f>
        <v>0.27490000000000009</v>
      </c>
      <c r="AP25" s="38"/>
      <c r="AQ25" s="30">
        <f>ABS(AR22-AQ24)/AQ24</f>
        <v>0.20626666666666674</v>
      </c>
      <c r="AR25" s="38"/>
      <c r="AS25" s="98">
        <f>ABS(AT22-AS24)/AS24</f>
        <v>0.24700000000000011</v>
      </c>
      <c r="AT25" s="16"/>
      <c r="AU25" s="2"/>
      <c r="AV25" s="2"/>
      <c r="AW25" s="2"/>
      <c r="AX25" s="2"/>
      <c r="AY25" s="49"/>
      <c r="AZ25" s="38"/>
      <c r="BA25" s="38"/>
      <c r="BB25" s="38"/>
      <c r="BC25" s="38"/>
      <c r="BD25" s="16"/>
      <c r="BE25" s="38"/>
      <c r="BF25" s="23"/>
      <c r="BG25" s="23"/>
      <c r="BH25" s="38"/>
      <c r="BI25" s="23"/>
      <c r="BJ25" s="38"/>
      <c r="BK25" s="38"/>
      <c r="BL25" s="38"/>
      <c r="BM25" s="38"/>
      <c r="BN25" s="20"/>
      <c r="BO25" s="23"/>
      <c r="BP25" s="23"/>
      <c r="BQ25" s="23"/>
      <c r="BR25" s="38"/>
      <c r="BS25" s="23"/>
      <c r="BT25" s="38"/>
      <c r="BU25" s="38"/>
      <c r="BV25" s="38"/>
      <c r="BW25" s="38"/>
      <c r="BX25" s="16"/>
      <c r="BY25" s="38"/>
      <c r="BZ25" s="23"/>
      <c r="CA25" s="38"/>
      <c r="CB25" s="38"/>
      <c r="CC25" s="23"/>
      <c r="CD25" s="38"/>
      <c r="CE25" s="38"/>
      <c r="CF25" s="38"/>
      <c r="CG25" s="38"/>
    </row>
    <row r="26" spans="1:133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U26" s="35"/>
      <c r="AY26" s="35"/>
      <c r="AZ26" s="35"/>
      <c r="BA26" s="35"/>
      <c r="BB26" s="35"/>
      <c r="BC26" s="35"/>
      <c r="BD26" s="35"/>
    </row>
    <row r="28" spans="1:133" x14ac:dyDescent="0.25">
      <c r="A28" t="s">
        <v>26</v>
      </c>
    </row>
    <row r="29" spans="1:133" x14ac:dyDescent="0.25">
      <c r="A29" t="s">
        <v>3</v>
      </c>
    </row>
    <row r="30" spans="1:133" x14ac:dyDescent="0.25">
      <c r="A30" t="str">
        <f>"-OR-"</f>
        <v>-OR-</v>
      </c>
    </row>
    <row r="31" spans="1:133" x14ac:dyDescent="0.25">
      <c r="A31" t="s">
        <v>24</v>
      </c>
    </row>
    <row r="32" spans="1:133" x14ac:dyDescent="0.25">
      <c r="A32" t="s">
        <v>25</v>
      </c>
    </row>
    <row r="34" spans="1:24" x14ac:dyDescent="0.25">
      <c r="A34" t="s">
        <v>23</v>
      </c>
    </row>
    <row r="35" spans="1:24" x14ac:dyDescent="0.25">
      <c r="A35" t="s">
        <v>18</v>
      </c>
    </row>
    <row r="37" spans="1:24" x14ac:dyDescent="0.25">
      <c r="A37" t="s">
        <v>19</v>
      </c>
    </row>
    <row r="38" spans="1:24" x14ac:dyDescent="0.25">
      <c r="A38" t="s">
        <v>3</v>
      </c>
    </row>
    <row r="40" spans="1:24" x14ac:dyDescent="0.25">
      <c r="A40" t="s">
        <v>14</v>
      </c>
    </row>
    <row r="41" spans="1:24" x14ac:dyDescent="0.25">
      <c r="A41" t="s">
        <v>4</v>
      </c>
    </row>
    <row r="43" spans="1:24" x14ac:dyDescent="0.25">
      <c r="A43" t="s">
        <v>27</v>
      </c>
    </row>
    <row r="44" spans="1:24" x14ac:dyDescent="0.25">
      <c r="A44" t="s">
        <v>28</v>
      </c>
    </row>
    <row r="45" spans="1:24" x14ac:dyDescent="0.25">
      <c r="A45" t="s">
        <v>29</v>
      </c>
    </row>
    <row r="46" spans="1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</sheetData>
  <pageMargins left="0.7" right="0.7" top="0.75" bottom="0.75" header="0.3" footer="0.3"/>
  <pageSetup orientation="portrait" r:id="rId1"/>
  <ignoredErrors>
    <ignoredError sqref="O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T13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0.87</v>
      </c>
      <c r="C4" s="119">
        <v>0.93</v>
      </c>
      <c r="D4" s="119">
        <v>0.93</v>
      </c>
      <c r="E4" s="276">
        <v>0.92</v>
      </c>
      <c r="F4" s="123">
        <v>0.97</v>
      </c>
      <c r="G4" s="123">
        <v>0.96</v>
      </c>
      <c r="H4" s="122">
        <v>0.92</v>
      </c>
      <c r="I4" s="123">
        <v>0.73</v>
      </c>
      <c r="J4" s="126">
        <v>0.65</v>
      </c>
      <c r="K4" s="126">
        <v>0.74</v>
      </c>
      <c r="L4" s="126">
        <v>0.74</v>
      </c>
      <c r="M4" s="126">
        <v>0.94</v>
      </c>
      <c r="N4" s="126">
        <v>0.8</v>
      </c>
      <c r="O4" s="126">
        <v>0.86</v>
      </c>
      <c r="P4" s="126">
        <v>0.71</v>
      </c>
      <c r="Q4" s="126">
        <v>0.9</v>
      </c>
      <c r="R4" s="126">
        <v>0.95</v>
      </c>
      <c r="S4" s="126">
        <v>0.78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35.450000000000003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65.25" customHeight="1" x14ac:dyDescent="0.25">
      <c r="A10" s="116" t="s">
        <v>96</v>
      </c>
      <c r="B10" s="130" t="s">
        <v>167</v>
      </c>
      <c r="C10" s="253"/>
      <c r="D10" s="76"/>
      <c r="E10" s="76"/>
      <c r="F10" s="74"/>
      <c r="G10" s="74"/>
      <c r="H10" s="74"/>
      <c r="I10" s="74"/>
      <c r="J10" s="75" t="s">
        <v>134</v>
      </c>
      <c r="K10" s="12">
        <v>184.6</v>
      </c>
      <c r="L10" s="12">
        <v>528.4</v>
      </c>
      <c r="M10" s="12">
        <v>865</v>
      </c>
      <c r="N10" s="71">
        <v>1437.6</v>
      </c>
      <c r="O10" s="12">
        <v>2267.4</v>
      </c>
      <c r="P10" s="16"/>
      <c r="Q10" s="16"/>
      <c r="R10" s="16"/>
    </row>
    <row r="11" spans="1:20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60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A2:GU47"/>
  <sheetViews>
    <sheetView zoomScale="70" zoomScaleNormal="70" zoomScaleSheetLayoutView="40" workbookViewId="0">
      <pane xSplit="1" topLeftCell="B1" activePane="topRight" state="frozen"/>
      <selection pane="topRight" activeCell="A42" sqref="A42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7" width="10.7109375" customWidth="1"/>
    <col min="18" max="18" width="11.7109375" customWidth="1"/>
    <col min="20" max="20" width="11.5703125" customWidth="1"/>
    <col min="22" max="22" width="13.5703125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166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t="s">
        <v>165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 t="s">
        <v>159</v>
      </c>
      <c r="C7" s="29" t="e">
        <f>B7/AVERAGE($M7,$N7)</f>
        <v>#VALUE!</v>
      </c>
      <c r="D7" s="12" t="s">
        <v>159</v>
      </c>
      <c r="E7" s="29" t="e">
        <f>D7/AVERAGE($M7,$N7)</f>
        <v>#VALUE!</v>
      </c>
      <c r="F7" s="12" t="s">
        <v>158</v>
      </c>
      <c r="G7" s="29" t="e">
        <f>F7/AVERAGE($M7,$N7)</f>
        <v>#VALUE!</v>
      </c>
      <c r="H7" s="33"/>
      <c r="I7" s="12" t="e">
        <f>AVERAGE(B7,D7,F7)</f>
        <v>#DIV/0!</v>
      </c>
      <c r="J7" s="30" t="e">
        <f>STDEV(B7,D7,F7)/I7</f>
        <v>#DIV/0!</v>
      </c>
      <c r="K7" s="19"/>
      <c r="L7" s="12">
        <v>36.590000000000003</v>
      </c>
      <c r="M7" s="12">
        <v>36.31</v>
      </c>
      <c r="N7" s="12">
        <v>36.090000000000003</v>
      </c>
      <c r="O7" s="12">
        <v>36.78</v>
      </c>
      <c r="P7" s="12">
        <v>37.130000000000003</v>
      </c>
      <c r="Q7" s="12">
        <v>37.049999999999997</v>
      </c>
      <c r="R7" s="141">
        <f>AVERAGE($L7,$O7)</f>
        <v>36.685000000000002</v>
      </c>
      <c r="S7" s="54">
        <f>ABS(L7-O7)/AVERAGE(O7,L7)</f>
        <v>5.1792285675343521E-3</v>
      </c>
      <c r="T7" s="38"/>
      <c r="U7" s="38"/>
      <c r="V7" s="16"/>
      <c r="W7" s="12" t="s">
        <v>158</v>
      </c>
      <c r="X7" s="29" t="e">
        <f>W7/AVERAGE($M7,$N7)</f>
        <v>#VALUE!</v>
      </c>
      <c r="Y7" s="12" t="s">
        <v>158</v>
      </c>
      <c r="Z7" s="29" t="e">
        <f>Y7/AVERAGE($M7,$N7)</f>
        <v>#VALUE!</v>
      </c>
      <c r="AA7" s="12" t="s">
        <v>158</v>
      </c>
      <c r="AB7" s="29" t="e">
        <f>AA7/AVERAGE($M7,$N7)</f>
        <v>#VALUE!</v>
      </c>
      <c r="AC7" s="12" t="s">
        <v>158</v>
      </c>
      <c r="AD7" s="29" t="e">
        <f>AC7/AVERAGE($M7,$N7)</f>
        <v>#VALUE!</v>
      </c>
      <c r="AE7" s="12" t="s">
        <v>158</v>
      </c>
      <c r="AF7" s="29" t="e">
        <f>AE7/AVERAGE($M7,$N7)</f>
        <v>#VALUE!</v>
      </c>
      <c r="AG7" s="16"/>
      <c r="AH7" s="38"/>
      <c r="AI7" s="20"/>
      <c r="AJ7" s="12"/>
      <c r="AK7" s="12"/>
      <c r="AL7" s="12" t="s">
        <v>158</v>
      </c>
      <c r="AM7" s="12"/>
      <c r="AN7" s="12" t="s">
        <v>159</v>
      </c>
      <c r="AO7" s="12"/>
      <c r="AP7" s="12" t="s">
        <v>159</v>
      </c>
      <c r="AQ7" s="12"/>
      <c r="AR7" s="12" t="s">
        <v>159</v>
      </c>
      <c r="AS7" s="12"/>
      <c r="AT7" s="43"/>
      <c r="AU7" s="12">
        <v>1.83</v>
      </c>
      <c r="AV7" s="29">
        <f>AU7/AVERAGE($L7,$M7,$O7,$P7)</f>
        <v>4.9860363735440366E-2</v>
      </c>
      <c r="AW7" s="12">
        <v>1.84</v>
      </c>
      <c r="AX7" s="29">
        <f>AW7/AVERAGE($L7,$M7,$O7,$P7)</f>
        <v>5.0132824739459167E-2</v>
      </c>
      <c r="AY7" s="12">
        <v>1.85</v>
      </c>
      <c r="AZ7" s="29">
        <f>AY7/AVERAGE($L7,$M7,$O7,$P7)</f>
        <v>5.0405285743477968E-2</v>
      </c>
      <c r="BA7" s="12">
        <v>1.63</v>
      </c>
      <c r="BB7" s="29">
        <f>BA7/AVERAGE($L7,$M7,$O7,$P7)</f>
        <v>4.4411143655064364E-2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28.29</v>
      </c>
      <c r="C8" s="30">
        <f>B8/AVERAGE($M8,$N8)</f>
        <v>0.86672794117647056</v>
      </c>
      <c r="D8" s="12">
        <v>30.28</v>
      </c>
      <c r="E8" s="30">
        <f>D8/AVERAGE($M8,$N8)</f>
        <v>0.92769607843137258</v>
      </c>
      <c r="F8" s="12">
        <v>30.28</v>
      </c>
      <c r="G8" s="30">
        <f>F8/AVERAGE($M8,$N8)</f>
        <v>0.92769607843137258</v>
      </c>
      <c r="H8" s="34"/>
      <c r="I8" s="274">
        <f>AVERAGE(B8,D8,F8)</f>
        <v>29.616666666666664</v>
      </c>
      <c r="J8" s="30">
        <f>STDEV(B8,D8,F8)/I8</f>
        <v>3.8793259505481931E-2</v>
      </c>
      <c r="K8" s="19"/>
      <c r="L8" s="12">
        <v>33.03</v>
      </c>
      <c r="M8" s="12">
        <v>33.119999999999997</v>
      </c>
      <c r="N8" s="12">
        <v>32.159999999999997</v>
      </c>
      <c r="O8" s="12">
        <v>34.69</v>
      </c>
      <c r="P8" s="12">
        <v>35.409999999999997</v>
      </c>
      <c r="Q8" s="12">
        <v>35.03</v>
      </c>
      <c r="R8" s="53">
        <f>AVERAGE($L8,$O8)</f>
        <v>33.86</v>
      </c>
      <c r="S8" s="54">
        <f>ABS(L8-O8)/AVERAGE(O8,L8)</f>
        <v>4.9025398700531499E-2</v>
      </c>
      <c r="T8" s="38"/>
      <c r="U8" s="38"/>
      <c r="V8" s="16"/>
      <c r="W8" s="12">
        <v>20.77</v>
      </c>
      <c r="X8" s="98">
        <f>W8/AVERAGE($M8,$N8)</f>
        <v>0.63633578431372551</v>
      </c>
      <c r="Y8" s="12">
        <v>24.14</v>
      </c>
      <c r="Z8" s="30">
        <f>Y8/AVERAGE($M8,$N8)</f>
        <v>0.73958333333333337</v>
      </c>
      <c r="AA8" s="12">
        <v>24.04</v>
      </c>
      <c r="AB8" s="30">
        <f>AA8/AVERAGE($M8,$N8)</f>
        <v>0.73651960784313719</v>
      </c>
      <c r="AC8" s="12">
        <v>30.55</v>
      </c>
      <c r="AD8" s="30">
        <f>AC8/AVERAGE($M8,$N8)</f>
        <v>0.93596813725490202</v>
      </c>
      <c r="AE8" s="12">
        <v>26.11</v>
      </c>
      <c r="AF8" s="30">
        <f>AE8/AVERAGE($M8,$N8)</f>
        <v>0.79993872549019607</v>
      </c>
      <c r="AG8" s="16"/>
      <c r="AH8" s="23"/>
      <c r="AI8" s="20"/>
      <c r="AJ8" s="12"/>
      <c r="AK8" s="12"/>
      <c r="AL8" s="12" t="s">
        <v>158</v>
      </c>
      <c r="AM8" s="12"/>
      <c r="AN8" s="12" t="s">
        <v>159</v>
      </c>
      <c r="AO8" s="12"/>
      <c r="AP8" s="12" t="s">
        <v>159</v>
      </c>
      <c r="AQ8" s="12"/>
      <c r="AR8" s="12" t="s">
        <v>159</v>
      </c>
      <c r="AS8" s="12"/>
      <c r="AT8" s="43"/>
      <c r="AU8" s="12">
        <v>30.45</v>
      </c>
      <c r="AV8" s="30">
        <f>AU8/AVERAGE($L8,$M8)</f>
        <v>0.92063492063492058</v>
      </c>
      <c r="AW8" s="12">
        <v>30.59</v>
      </c>
      <c r="AX8" s="30">
        <f>AW8/AVERAGE($L8,$M8)</f>
        <v>0.92486772486772484</v>
      </c>
      <c r="AY8" s="12">
        <v>30.38</v>
      </c>
      <c r="AZ8" s="30">
        <f>AY8/AVERAGE($L8,$M8)</f>
        <v>0.9185185185185184</v>
      </c>
      <c r="BA8" s="12">
        <v>25.65</v>
      </c>
      <c r="BB8" s="30">
        <f>BA8/AVERAGE($O8,$P8)</f>
        <v>0.73181169757489306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11.14</v>
      </c>
      <c r="C9" s="30">
        <f>B9/AVERAGE($M9,$N9)</f>
        <v>1.0619637750238324</v>
      </c>
      <c r="D9" s="12">
        <v>12.72</v>
      </c>
      <c r="E9" s="30">
        <f>D9/AVERAGE($M9,$N9)</f>
        <v>1.2125834127740709</v>
      </c>
      <c r="F9" s="12">
        <v>9.2899999999999991</v>
      </c>
      <c r="G9" s="30">
        <f>F9/AVERAGE($M9,$N9)</f>
        <v>0.88560533841754052</v>
      </c>
      <c r="H9" s="34"/>
      <c r="I9" s="12">
        <f>AVERAGE(B9,D9,F9)</f>
        <v>11.049999999999999</v>
      </c>
      <c r="J9" s="98">
        <f>STDEV(B9,D9,F9)/I9</f>
        <v>0.15536382112341482</v>
      </c>
      <c r="K9" s="16"/>
      <c r="L9" s="12">
        <v>11.44</v>
      </c>
      <c r="M9" s="12">
        <v>11.36</v>
      </c>
      <c r="N9" s="12">
        <v>9.6199999999999992</v>
      </c>
      <c r="O9" s="12">
        <v>11.49</v>
      </c>
      <c r="P9" s="12">
        <v>12.43</v>
      </c>
      <c r="Q9" s="12">
        <v>11.85</v>
      </c>
      <c r="R9" s="141">
        <f>AVERAGE($L9,$O9)</f>
        <v>11.465</v>
      </c>
      <c r="S9" s="54">
        <f>ABS(L9-O9)/AVERAGE(O9,L9)</f>
        <v>4.3610989969472928E-3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4.3499999999999996</v>
      </c>
      <c r="AK9" s="12">
        <f>AJ9/0.5*10</f>
        <v>87</v>
      </c>
      <c r="AL9" s="12">
        <v>6.96</v>
      </c>
      <c r="AM9" s="12">
        <f>AL9/0.5*10</f>
        <v>139.19999999999999</v>
      </c>
      <c r="AN9" s="12">
        <v>16.54</v>
      </c>
      <c r="AO9" s="12">
        <f>AN9/0.5*10</f>
        <v>330.79999999999995</v>
      </c>
      <c r="AP9" s="12">
        <v>31.95</v>
      </c>
      <c r="AQ9" s="12">
        <f>AP9/0.5*10</f>
        <v>639</v>
      </c>
      <c r="AR9" s="12">
        <v>22.94</v>
      </c>
      <c r="AS9" s="12">
        <f>AR9/0.5*20</f>
        <v>917.6</v>
      </c>
      <c r="AT9" s="45"/>
      <c r="AU9" s="12" t="s">
        <v>159</v>
      </c>
      <c r="AV9" s="12"/>
      <c r="AW9" s="12" t="s">
        <v>158</v>
      </c>
      <c r="AX9" s="12"/>
      <c r="AY9" s="12" t="s">
        <v>158</v>
      </c>
      <c r="AZ9" s="12"/>
      <c r="BA9" s="12" t="s">
        <v>159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23.51</v>
      </c>
      <c r="C10" s="30">
        <f>B10/AVERAGE($M10,$N10)</f>
        <v>0.94817503528937286</v>
      </c>
      <c r="D10" s="12">
        <v>24.33</v>
      </c>
      <c r="E10" s="30">
        <f>D10/AVERAGE($M10,$N10)</f>
        <v>0.98124621899576514</v>
      </c>
      <c r="F10" s="12">
        <v>19.91</v>
      </c>
      <c r="G10" s="30">
        <f>F10/AVERAGE($M10,$N10)</f>
        <v>0.80298447267594264</v>
      </c>
      <c r="H10" s="34"/>
      <c r="I10" s="274">
        <f>AVERAGE(B10,D10,F10)</f>
        <v>22.583333333333332</v>
      </c>
      <c r="J10" s="30">
        <f>STDEV(B10,D10,F10)/I10</f>
        <v>0.10411210078481109</v>
      </c>
      <c r="K10" s="16"/>
      <c r="L10" s="12">
        <v>26.03</v>
      </c>
      <c r="M10" s="12">
        <v>27.07</v>
      </c>
      <c r="N10" s="12">
        <v>22.52</v>
      </c>
      <c r="O10" s="12">
        <v>23.71</v>
      </c>
      <c r="P10" s="12">
        <v>29.12</v>
      </c>
      <c r="Q10" s="12">
        <v>23.61</v>
      </c>
      <c r="R10" s="53">
        <f>AVERAGE($L10,$O10)</f>
        <v>24.87</v>
      </c>
      <c r="S10" s="54">
        <f>ABS(L10-O10)/AVERAGE(O10,L10)</f>
        <v>9.3285082428628874E-2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8.27</v>
      </c>
      <c r="AK10" s="12">
        <f>AJ10/0.5*10</f>
        <v>165.39999999999998</v>
      </c>
      <c r="AL10" s="12">
        <v>15.73</v>
      </c>
      <c r="AM10" s="12">
        <f>AL10/0.5*10</f>
        <v>314.60000000000002</v>
      </c>
      <c r="AN10" s="12">
        <v>35.39</v>
      </c>
      <c r="AO10" s="12">
        <f>AN10/0.5*10</f>
        <v>707.8</v>
      </c>
      <c r="AP10" s="12">
        <v>67.37</v>
      </c>
      <c r="AQ10" s="12">
        <f>AP10/0.5*10</f>
        <v>1347.4</v>
      </c>
      <c r="AR10" s="12">
        <v>47.1</v>
      </c>
      <c r="AS10" s="12">
        <f>AR10/0.5*20</f>
        <v>1884</v>
      </c>
      <c r="AT10" s="45"/>
      <c r="AU10" s="12" t="s">
        <v>159</v>
      </c>
      <c r="AV10" s="12"/>
      <c r="AW10" s="12" t="s">
        <v>158</v>
      </c>
      <c r="AX10" s="12"/>
      <c r="AY10" s="12" t="s">
        <v>158</v>
      </c>
      <c r="AZ10" s="12"/>
      <c r="BA10" s="12" t="s">
        <v>159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34.650000000000006</v>
      </c>
      <c r="C11" s="30">
        <f>B11/AVERAGE($M11,$N11)</f>
        <v>0.9820036842851072</v>
      </c>
      <c r="D11" s="52">
        <f>SUM(D$10+D$9)</f>
        <v>37.049999999999997</v>
      </c>
      <c r="E11" s="30">
        <f>D11/AVERAGE($M11,$N11)</f>
        <v>1.0500212554910018</v>
      </c>
      <c r="F11" s="52">
        <f>SUM(F$10+F$9)</f>
        <v>29.2</v>
      </c>
      <c r="G11" s="30">
        <f>F11/AVERAGE($M11,$N11)</f>
        <v>0.82754711633838751</v>
      </c>
      <c r="H11" s="34"/>
      <c r="I11" s="12">
        <f>AVERAGE(B11,D11)</f>
        <v>35.85</v>
      </c>
      <c r="J11" s="30">
        <f>STDEV(B11,D11,F11)/I11</f>
        <v>0.1122047602933651</v>
      </c>
      <c r="K11" s="19"/>
      <c r="L11" s="52">
        <f t="shared" ref="L11:Q11" si="0">SUM(L9,L10)</f>
        <v>37.47</v>
      </c>
      <c r="M11" s="52">
        <f t="shared" si="0"/>
        <v>38.43</v>
      </c>
      <c r="N11" s="52">
        <f t="shared" si="0"/>
        <v>32.14</v>
      </c>
      <c r="O11" s="12">
        <f t="shared" si="0"/>
        <v>35.200000000000003</v>
      </c>
      <c r="P11" s="52">
        <f t="shared" si="0"/>
        <v>41.55</v>
      </c>
      <c r="Q11" s="52">
        <f t="shared" si="0"/>
        <v>35.46</v>
      </c>
      <c r="R11" s="141">
        <f>AVERAGE($L11,$O11)</f>
        <v>36.335000000000001</v>
      </c>
      <c r="S11" s="54">
        <f>ABS(L11-O11)/AVERAGE(O11,L11)</f>
        <v>6.2474198431264512E-2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3">
        <f>SUM(AJ10,AJ9)</f>
        <v>12.62</v>
      </c>
      <c r="AK11" s="12">
        <f>AJ11/0.5*10</f>
        <v>252.39999999999998</v>
      </c>
      <c r="AL11" s="13">
        <f>SUM(AL9,AL10)</f>
        <v>22.69</v>
      </c>
      <c r="AM11" s="12">
        <f>AL11/0.5*10</f>
        <v>453.8</v>
      </c>
      <c r="AN11" s="13">
        <f>SUM(AN9,AN10)</f>
        <v>51.93</v>
      </c>
      <c r="AO11" s="12">
        <f>AN11/0.5*10</f>
        <v>1038.5999999999999</v>
      </c>
      <c r="AP11" s="13">
        <f>SUM(AP9,AP10)</f>
        <v>99.320000000000007</v>
      </c>
      <c r="AQ11" s="12">
        <f>AP11/0.5*10</f>
        <v>1986.4</v>
      </c>
      <c r="AR11" s="13">
        <f>SUM(AR9,AR10)</f>
        <v>70.040000000000006</v>
      </c>
      <c r="AS11" s="12">
        <f>AR11/0.5*20</f>
        <v>2801.6000000000004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 t="shared" ref="L12:R12" si="1">(L7+L8+L11)/3</f>
        <v>35.696666666666665</v>
      </c>
      <c r="M12" s="275">
        <f>(M7+M8+M11)/3</f>
        <v>35.95333333333334</v>
      </c>
      <c r="N12" s="275">
        <f t="shared" si="1"/>
        <v>33.463333333333331</v>
      </c>
      <c r="O12" s="275">
        <f>(O7+O8+O11)/3</f>
        <v>35.556666666666665</v>
      </c>
      <c r="P12" s="55">
        <f t="shared" si="1"/>
        <v>38.029999999999994</v>
      </c>
      <c r="Q12" s="275">
        <f t="shared" si="1"/>
        <v>35.846666666666664</v>
      </c>
      <c r="R12" s="275">
        <f t="shared" si="1"/>
        <v>35.626666666666665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31"/>
      <c r="AK12" s="99">
        <f>AK11/AJ13</f>
        <v>0.50479999999999992</v>
      </c>
      <c r="AL12" s="31"/>
      <c r="AM12" s="99">
        <f>AM11/AL13</f>
        <v>0.45380000000000004</v>
      </c>
      <c r="AN12" s="31"/>
      <c r="AO12" s="99">
        <f>AO11/AN13</f>
        <v>0.51929999999999998</v>
      </c>
      <c r="AP12" s="31"/>
      <c r="AQ12" s="69">
        <f>AQ11/AP13</f>
        <v>0.66213333333333335</v>
      </c>
      <c r="AR12" s="31"/>
      <c r="AS12" s="69">
        <f>AS11/AR13</f>
        <v>0.70040000000000013</v>
      </c>
      <c r="AT12" s="2">
        <f>AVERAGE(AK12,AM12,AO12,AQ12,AS12)</f>
        <v>0.56808666666666663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30">
        <f>ABS(B11-B13)/B13</f>
        <v>0.13374999999999987</v>
      </c>
      <c r="C14" s="33"/>
      <c r="D14" s="30">
        <f>ABS(D11-D13)/D13</f>
        <v>7.3750000000000066E-2</v>
      </c>
      <c r="E14" s="34"/>
      <c r="F14" s="98">
        <f>ABS(F11-F13)/F13</f>
        <v>0.27</v>
      </c>
      <c r="G14" s="34"/>
      <c r="H14" s="34"/>
      <c r="I14" s="34"/>
      <c r="J14" s="34"/>
      <c r="K14" s="38"/>
      <c r="L14" s="30">
        <f t="shared" ref="L14:R14" si="2">(L12-L13)/L13</f>
        <v>-0.10758333333333336</v>
      </c>
      <c r="M14" s="30">
        <f t="shared" si="2"/>
        <v>-0.10116666666666649</v>
      </c>
      <c r="N14" s="30">
        <f t="shared" si="2"/>
        <v>-0.16341666666666671</v>
      </c>
      <c r="O14" s="30">
        <f t="shared" si="2"/>
        <v>-0.11108333333333338</v>
      </c>
      <c r="P14" s="30">
        <f t="shared" si="2"/>
        <v>-4.9250000000000148E-2</v>
      </c>
      <c r="Q14" s="30">
        <f t="shared" si="2"/>
        <v>-0.1038333333333334</v>
      </c>
      <c r="R14" s="30">
        <f t="shared" si="2"/>
        <v>-0.10933333333333337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100">
        <f>ABS(AK11-AJ13)/AJ13</f>
        <v>0.49520000000000003</v>
      </c>
      <c r="AK14" s="61"/>
      <c r="AL14" s="100">
        <f>ABS(AM11-AL13)/AL13</f>
        <v>0.54620000000000002</v>
      </c>
      <c r="AM14" s="62"/>
      <c r="AN14" s="100">
        <f>ABS(AO11-AN13)/AN13</f>
        <v>0.48070000000000007</v>
      </c>
      <c r="AO14" s="62"/>
      <c r="AP14" s="100">
        <f>ABS(AQ11-AP13)/AP13</f>
        <v>0.33786666666666665</v>
      </c>
      <c r="AQ14" s="62"/>
      <c r="AR14" s="100">
        <f>ABS(AS11-AR13)/AR13</f>
        <v>0.29959999999999992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0.74619174224204166</v>
      </c>
      <c r="X15" s="71"/>
      <c r="Y15" s="30">
        <f>AVERAGE(Z8,Z19)</f>
        <v>0.72555543725156157</v>
      </c>
      <c r="Z15" s="71"/>
      <c r="AA15" s="30">
        <f>AVERAGE(AB8,AB19)</f>
        <v>0.81828819688011489</v>
      </c>
      <c r="AB15" s="71"/>
      <c r="AC15" s="30">
        <f>AVERAGE(AD8,AD19)</f>
        <v>0.94427594824130678</v>
      </c>
      <c r="AD15" s="71"/>
      <c r="AE15" s="30">
        <f>AVERAGE(AF8,AF19)</f>
        <v>0.79108236672011223</v>
      </c>
      <c r="AF15" s="16"/>
      <c r="AG15" s="16"/>
      <c r="AH15" s="16"/>
      <c r="AI15" s="68" t="s">
        <v>129</v>
      </c>
      <c r="AJ15" s="103">
        <f>AVERAGE(AK11,AK22)</f>
        <v>184.6</v>
      </c>
      <c r="AK15" s="71"/>
      <c r="AL15" s="103">
        <f>AVERAGE(AM11,AM22)</f>
        <v>528.4</v>
      </c>
      <c r="AM15" s="71"/>
      <c r="AN15" s="103">
        <f>AVERAGE(AO22,AO11)</f>
        <v>865</v>
      </c>
      <c r="AO15" s="71"/>
      <c r="AP15" s="103">
        <f>AVERAGE(AQ11,AQ22)</f>
        <v>1437.6</v>
      </c>
      <c r="AQ15" s="71"/>
      <c r="AR15" s="103">
        <f>AVERAGE(AS11,AS22)</f>
        <v>2267.4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 t="s">
        <v>8</v>
      </c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 t="s">
        <v>159</v>
      </c>
      <c r="C18" s="29" t="e">
        <f>B18/AVERAGE($Q7,$P7)</f>
        <v>#VALUE!</v>
      </c>
      <c r="D18" s="12" t="s">
        <v>158</v>
      </c>
      <c r="E18" s="29" t="e">
        <f>D18/AVERAGE($Q7,$P7)</f>
        <v>#VALUE!</v>
      </c>
      <c r="F18" s="12" t="s">
        <v>158</v>
      </c>
      <c r="G18" s="29" t="e">
        <f>F18/AVERAGE($Q7,$P7)</f>
        <v>#VALUE!</v>
      </c>
      <c r="H18" s="33"/>
      <c r="I18" s="12" t="e">
        <f>AVERAGE(D18,F18)</f>
        <v>#DIV/0!</v>
      </c>
      <c r="J18" s="30" t="e">
        <f>STDEV(D18,F18)/I18</f>
        <v>#DIV/0!</v>
      </c>
      <c r="K18" s="1"/>
      <c r="L18" s="58"/>
      <c r="M18" s="58"/>
      <c r="N18" s="58"/>
      <c r="O18" s="58"/>
      <c r="P18" s="58"/>
      <c r="Q18" s="1"/>
      <c r="S18" s="38"/>
      <c r="T18" s="38"/>
      <c r="U18" s="38"/>
      <c r="V18" s="16"/>
      <c r="W18" s="12" t="s">
        <v>159</v>
      </c>
      <c r="X18" s="29" t="e">
        <f>W18/AVERAGE($Q7,$P7)</f>
        <v>#VALUE!</v>
      </c>
      <c r="Y18" s="12" t="s">
        <v>158</v>
      </c>
      <c r="Z18" s="29" t="e">
        <f>Y18/AVERAGE($Q7,$P7)</f>
        <v>#VALUE!</v>
      </c>
      <c r="AA18" s="12" t="s">
        <v>158</v>
      </c>
      <c r="AB18" s="29" t="e">
        <f>AA18/AVERAGE($Q7,$P7)</f>
        <v>#VALUE!</v>
      </c>
      <c r="AC18" s="12" t="s">
        <v>159</v>
      </c>
      <c r="AD18" s="29" t="e">
        <f>AC18/AVERAGE($Q7,$P7)</f>
        <v>#VALUE!</v>
      </c>
      <c r="AE18" s="12" t="s">
        <v>158</v>
      </c>
      <c r="AF18" s="29" t="e">
        <f>AE18/AVERAGE($Q7,$P7)</f>
        <v>#VALUE!</v>
      </c>
      <c r="AG18" s="16"/>
      <c r="AH18" s="38"/>
      <c r="AI18" s="20"/>
      <c r="AJ18" s="12" t="s">
        <v>159</v>
      </c>
      <c r="AK18" s="12"/>
      <c r="AL18" s="12" t="s">
        <v>159</v>
      </c>
      <c r="AM18" s="12"/>
      <c r="AN18" s="12" t="s">
        <v>159</v>
      </c>
      <c r="AO18" s="12"/>
      <c r="AP18" s="12" t="s">
        <v>159</v>
      </c>
      <c r="AQ18" s="12"/>
      <c r="AR18" s="12" t="s">
        <v>159</v>
      </c>
      <c r="AS18" s="12"/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32.28</v>
      </c>
      <c r="C19" s="30">
        <f>B19/AVERAGE($Q8,$P8)</f>
        <v>0.91652470187393531</v>
      </c>
      <c r="D19" s="12">
        <v>27.81</v>
      </c>
      <c r="E19" s="30">
        <f>D19/AVERAGE($Q8,$P8)</f>
        <v>0.78960817717206133</v>
      </c>
      <c r="F19" s="12">
        <v>33.81</v>
      </c>
      <c r="G19" s="30">
        <f>F19/AVERAGE($Q8,$P8)</f>
        <v>0.9599659284497446</v>
      </c>
      <c r="H19" s="34"/>
      <c r="I19" s="12">
        <f>AVERAGE(D19,F19)</f>
        <v>30.810000000000002</v>
      </c>
      <c r="J19" s="30">
        <f>STDEV(D19,F19)/I19</f>
        <v>0.13770336537225858</v>
      </c>
      <c r="K19" s="11"/>
      <c r="L19" s="58"/>
      <c r="M19" s="58"/>
      <c r="N19" s="58"/>
      <c r="O19" s="58"/>
      <c r="P19" s="58"/>
      <c r="S19" s="38"/>
      <c r="T19" s="38"/>
      <c r="U19" s="38"/>
      <c r="V19" s="16"/>
      <c r="W19" s="12">
        <v>30.15</v>
      </c>
      <c r="X19" s="30">
        <f>W19/AVERAGE($Q8,$P8)</f>
        <v>0.85604770017035769</v>
      </c>
      <c r="Y19" s="12">
        <v>25.06</v>
      </c>
      <c r="Z19" s="30">
        <f>Y19/AVERAGE($Q8,$P8)</f>
        <v>0.71152754116978989</v>
      </c>
      <c r="AA19" s="12">
        <v>31.7</v>
      </c>
      <c r="AB19" s="30">
        <f>AA19/AVERAGE($Q8,$P8)</f>
        <v>0.90005678591709259</v>
      </c>
      <c r="AC19" s="12">
        <v>33.549999999999997</v>
      </c>
      <c r="AD19" s="30">
        <f>AC19/AVERAGE($Q8,$P8)</f>
        <v>0.95258375922771144</v>
      </c>
      <c r="AE19" s="12">
        <v>27.55</v>
      </c>
      <c r="AF19" s="30">
        <f>AE19/AVERAGE($Q8,$P8)</f>
        <v>0.78222600795002839</v>
      </c>
      <c r="AG19" s="16"/>
      <c r="AH19" s="23"/>
      <c r="AI19" s="20"/>
      <c r="AJ19" s="12" t="s">
        <v>159</v>
      </c>
      <c r="AK19" s="12"/>
      <c r="AL19" s="12" t="s">
        <v>159</v>
      </c>
      <c r="AM19" s="12"/>
      <c r="AN19" s="12" t="s">
        <v>159</v>
      </c>
      <c r="AO19" s="12"/>
      <c r="AP19" s="12" t="s">
        <v>159</v>
      </c>
      <c r="AQ19" s="12"/>
      <c r="AR19" s="12" t="s">
        <v>159</v>
      </c>
      <c r="AS19" s="12"/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9.99</v>
      </c>
      <c r="C20" s="30">
        <f>B20/AVERAGE($Q9,$P9)</f>
        <v>0.82289950576606263</v>
      </c>
      <c r="D20" s="12">
        <v>9.4</v>
      </c>
      <c r="E20" s="30">
        <f>D20/AVERAGE($Q9,$P9)</f>
        <v>0.77429983525535417</v>
      </c>
      <c r="F20" s="12">
        <v>10.01</v>
      </c>
      <c r="G20" s="30">
        <f>F20/AVERAGE($Q9,$P9)</f>
        <v>0.82454695222405261</v>
      </c>
      <c r="H20" s="34"/>
      <c r="I20" s="274">
        <f>AVERAGE(D20,F20)</f>
        <v>9.7050000000000001</v>
      </c>
      <c r="J20" s="30">
        <f>STDEV(D20,F20)/I20</f>
        <v>4.4444630244594906E-2</v>
      </c>
      <c r="L20" s="58"/>
      <c r="M20" s="58"/>
      <c r="N20" s="58"/>
      <c r="O20" s="58"/>
      <c r="P20" s="58"/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3.42</v>
      </c>
      <c r="AK20" s="12">
        <f>AJ20/0.5*10</f>
        <v>68.400000000000006</v>
      </c>
      <c r="AL20" s="12">
        <v>13.89</v>
      </c>
      <c r="AM20" s="12">
        <f>AL20/0.5*10</f>
        <v>277.8</v>
      </c>
      <c r="AN20" s="12">
        <v>16.07</v>
      </c>
      <c r="AO20" s="12">
        <f>AN20/0.5*10</f>
        <v>321.39999999999998</v>
      </c>
      <c r="AP20" s="12">
        <v>20.68</v>
      </c>
      <c r="AQ20" s="12">
        <f>AP20/0.5*10</f>
        <v>413.6</v>
      </c>
      <c r="AR20" s="12">
        <v>17.71</v>
      </c>
      <c r="AS20" s="12">
        <f>AR20/0.5*20</f>
        <v>708.40000000000009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20.239999999999998</v>
      </c>
      <c r="C21" s="30">
        <f>B21/AVERAGE($Q10,$P10)</f>
        <v>0.76768443011568355</v>
      </c>
      <c r="D21" s="12">
        <v>18.600000000000001</v>
      </c>
      <c r="E21" s="30">
        <f>D21/AVERAGE($Q10,$P10)</f>
        <v>0.70548075099563812</v>
      </c>
      <c r="F21" s="12">
        <v>21.05</v>
      </c>
      <c r="G21" s="30">
        <f>F21/AVERAGE($Q10,$P10)</f>
        <v>0.79840697894936463</v>
      </c>
      <c r="H21" s="34"/>
      <c r="I21" s="274">
        <f>AVERAGE(D21,F21)</f>
        <v>19.825000000000003</v>
      </c>
      <c r="J21" s="30">
        <f>STDEV(D21,F21)/I21</f>
        <v>8.7385201205903693E-2</v>
      </c>
      <c r="L21" s="58"/>
      <c r="M21" s="58"/>
      <c r="N21" s="58"/>
      <c r="O21" s="58"/>
      <c r="P21" s="58"/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2.42</v>
      </c>
      <c r="AK21" s="12">
        <f>AJ21/0.5*10</f>
        <v>48.4</v>
      </c>
      <c r="AL21" s="12">
        <v>16.260000000000002</v>
      </c>
      <c r="AM21" s="12">
        <f>AL21/0.5*10</f>
        <v>325.20000000000005</v>
      </c>
      <c r="AN21" s="12">
        <v>18.5</v>
      </c>
      <c r="AO21" s="12">
        <f>AN21/0.5*10</f>
        <v>370</v>
      </c>
      <c r="AP21" s="12">
        <v>23.76</v>
      </c>
      <c r="AQ21" s="12">
        <f>AP21/0.5*10</f>
        <v>475.20000000000005</v>
      </c>
      <c r="AR21" s="12">
        <v>25.62</v>
      </c>
      <c r="AS21" s="12">
        <f>AR21/0.5*20</f>
        <v>1024.8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13">
        <f>B20+B21</f>
        <v>30.229999999999997</v>
      </c>
      <c r="C22" s="30">
        <f>B22/AVERAGE($Q11,$P11)</f>
        <v>0.78509284508505395</v>
      </c>
      <c r="D22" s="52">
        <f>SUM(D$10+D$9)</f>
        <v>37.049999999999997</v>
      </c>
      <c r="E22" s="30">
        <f>D22/AVERAGE($Q11,$P11)</f>
        <v>0.96221269964939626</v>
      </c>
      <c r="F22" s="13">
        <f>F20+F21</f>
        <v>31.060000000000002</v>
      </c>
      <c r="G22" s="30">
        <f>F22/AVERAGE($Q11,$P11)</f>
        <v>0.80664848720945348</v>
      </c>
      <c r="H22" s="34"/>
      <c r="I22" s="274">
        <f>AVERAGE(D22,F22)</f>
        <v>34.055</v>
      </c>
      <c r="J22" s="30">
        <f>STDEV(D22,F22)/I22</f>
        <v>0.12437438318330395</v>
      </c>
      <c r="L22" s="58"/>
      <c r="M22" s="58"/>
      <c r="N22" s="58"/>
      <c r="O22" s="58"/>
      <c r="P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3">
        <f>SUM(AJ20:AJ21)</f>
        <v>5.84</v>
      </c>
      <c r="AK22">
        <f>AJ22/0.5*10</f>
        <v>116.8</v>
      </c>
      <c r="AL22" s="13">
        <f>SUM(AL20,AL21)</f>
        <v>30.150000000000002</v>
      </c>
      <c r="AM22" s="12">
        <f>AL22/0.5*10</f>
        <v>603</v>
      </c>
      <c r="AN22" s="13">
        <f>SUM(AN20,AN21)</f>
        <v>34.57</v>
      </c>
      <c r="AO22" s="12">
        <f>AN22/0.5*10</f>
        <v>691.4</v>
      </c>
      <c r="AP22" s="13">
        <f>SUM(AP20,AP21)</f>
        <v>44.44</v>
      </c>
      <c r="AQ22" s="12">
        <f>AP22/0.5*10</f>
        <v>888.8</v>
      </c>
      <c r="AR22" s="13">
        <f>SUM(AR20,AR21)</f>
        <v>43.33</v>
      </c>
      <c r="AS22" s="12">
        <f>AR22/0.5*20</f>
        <v>1733.1999999999998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99">
        <f>AK22/AJ24</f>
        <v>0.2336</v>
      </c>
      <c r="AL23" s="31"/>
      <c r="AM23" s="69">
        <f>AM22/AL24</f>
        <v>0.60299999999999998</v>
      </c>
      <c r="AN23" s="31"/>
      <c r="AO23" s="99">
        <f>AO22/AN24</f>
        <v>0.34570000000000001</v>
      </c>
      <c r="AP23" s="31"/>
      <c r="AQ23" s="99">
        <f>AQ22/AP24</f>
        <v>0.29626666666666668</v>
      </c>
      <c r="AR23" s="31"/>
      <c r="AS23" s="69">
        <f>AS22/AR24</f>
        <v>0.43329999999999996</v>
      </c>
      <c r="AT23" s="2">
        <f>AVERAGE(AK23,AM23,AO23,AQ23,AS23)</f>
        <v>0.38237333333333334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30">
        <f>ABS(B22-B24)/B24</f>
        <v>0.24425000000000008</v>
      </c>
      <c r="C25" s="33"/>
      <c r="D25" s="30">
        <f>ABS(D22-D24)/D24</f>
        <v>7.3750000000000066E-2</v>
      </c>
      <c r="E25" s="34"/>
      <c r="F25" s="30">
        <f>ABS(F22-F24)/F24</f>
        <v>0.22349999999999995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29">
        <f>ABS(AK22-AJ24)/AJ24</f>
        <v>0.76639999999999997</v>
      </c>
      <c r="AK25" s="23"/>
      <c r="AL25" s="29">
        <f>ABS(AM22-AL24)/AL24</f>
        <v>0.39700000000000002</v>
      </c>
      <c r="AM25" s="38"/>
      <c r="AN25" s="29">
        <f>ABS(AO22-AN24)/AN24</f>
        <v>0.65429999999999999</v>
      </c>
      <c r="AO25" s="38"/>
      <c r="AP25" s="29">
        <f>ABS(AQ22-AP24)/AP24</f>
        <v>0.70373333333333332</v>
      </c>
      <c r="AQ25" s="38"/>
      <c r="AR25" s="29">
        <f>ABS(AS22-AR24)/AR24</f>
        <v>0.56670000000000009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T26" s="35"/>
      <c r="AX26" s="35"/>
      <c r="AY26" s="35"/>
      <c r="AZ26" s="35"/>
      <c r="BA26" s="35"/>
      <c r="BB26" s="35"/>
      <c r="BC26" s="35"/>
    </row>
    <row r="28" spans="1:132" x14ac:dyDescent="0.25">
      <c r="A28" t="s">
        <v>26</v>
      </c>
    </row>
    <row r="29" spans="1:132" x14ac:dyDescent="0.25">
      <c r="A29" t="s">
        <v>3</v>
      </c>
    </row>
    <row r="30" spans="1:132" x14ac:dyDescent="0.25">
      <c r="A30" t="str">
        <f>"-OR-"</f>
        <v>-OR-</v>
      </c>
    </row>
    <row r="31" spans="1:132" x14ac:dyDescent="0.25">
      <c r="A31" t="s">
        <v>24</v>
      </c>
    </row>
    <row r="32" spans="1:132" x14ac:dyDescent="0.25">
      <c r="A32" t="s">
        <v>25</v>
      </c>
    </row>
    <row r="34" spans="1:23" x14ac:dyDescent="0.25">
      <c r="A34" t="s">
        <v>23</v>
      </c>
    </row>
    <row r="35" spans="1:23" x14ac:dyDescent="0.25">
      <c r="A35" t="s">
        <v>18</v>
      </c>
    </row>
    <row r="37" spans="1:23" x14ac:dyDescent="0.25">
      <c r="A37" t="s">
        <v>19</v>
      </c>
    </row>
    <row r="38" spans="1:23" x14ac:dyDescent="0.25">
      <c r="A38" t="s">
        <v>3</v>
      </c>
    </row>
    <row r="40" spans="1:23" x14ac:dyDescent="0.25">
      <c r="A40" t="s">
        <v>14</v>
      </c>
    </row>
    <row r="41" spans="1:23" x14ac:dyDescent="0.25">
      <c r="A41" t="s">
        <v>4</v>
      </c>
    </row>
    <row r="43" spans="1:23" x14ac:dyDescent="0.25">
      <c r="A43" t="s">
        <v>27</v>
      </c>
    </row>
    <row r="44" spans="1:23" x14ac:dyDescent="0.25">
      <c r="A44" t="s">
        <v>28</v>
      </c>
    </row>
    <row r="45" spans="1:23" x14ac:dyDescent="0.25">
      <c r="A45" t="s">
        <v>29</v>
      </c>
    </row>
    <row r="46" spans="1:2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pageMargins left="0.7" right="0.7" top="0.75" bottom="0.75" header="0.3" footer="0.3"/>
  <pageSetup orientation="portrait" r:id="rId1"/>
  <ignoredErrors>
    <ignoredError sqref="AL22:AN22 AM11:AO11 AL11 AO22:AQ22 AQ11 F11 C11 F22 D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</sheetPr>
  <dimension ref="A1:T13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10" max="10" width="12.5703125" customWidth="1"/>
    <col min="11" max="11" width="9.28515625" customWidth="1"/>
  </cols>
  <sheetData>
    <row r="1" spans="1:20" ht="47.25" customHeight="1" x14ac:dyDescent="0.25">
      <c r="A1" s="79" t="s">
        <v>92</v>
      </c>
      <c r="B1" s="82"/>
      <c r="C1" s="76"/>
      <c r="D1" s="76"/>
      <c r="E1" s="76"/>
      <c r="F1" s="76"/>
      <c r="G1" s="76"/>
      <c r="H1" s="76"/>
      <c r="I1" s="76"/>
      <c r="J1" s="80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77" t="s">
        <v>34</v>
      </c>
      <c r="C2" s="77" t="s">
        <v>35</v>
      </c>
      <c r="D2" s="77" t="s">
        <v>83</v>
      </c>
      <c r="E2" s="77" t="s">
        <v>42</v>
      </c>
      <c r="F2" s="77" t="s">
        <v>43</v>
      </c>
      <c r="G2" s="77" t="s">
        <v>44</v>
      </c>
      <c r="H2" s="77" t="s">
        <v>87</v>
      </c>
      <c r="I2" s="77" t="s">
        <v>41</v>
      </c>
      <c r="J2" s="111" t="s">
        <v>153</v>
      </c>
      <c r="K2" s="111" t="s">
        <v>36</v>
      </c>
      <c r="L2" s="111" t="s">
        <v>154</v>
      </c>
      <c r="M2" s="111" t="s">
        <v>155</v>
      </c>
      <c r="N2" s="111" t="s">
        <v>84</v>
      </c>
      <c r="O2" s="111" t="s">
        <v>156</v>
      </c>
      <c r="P2" s="111" t="s">
        <v>38</v>
      </c>
      <c r="Q2" s="111" t="s">
        <v>157</v>
      </c>
      <c r="R2" s="111" t="s">
        <v>39</v>
      </c>
      <c r="S2" s="111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89">
        <v>0.72</v>
      </c>
      <c r="C4" s="90">
        <v>0.98</v>
      </c>
      <c r="D4" s="90">
        <v>0.77</v>
      </c>
      <c r="E4" s="110">
        <v>85</v>
      </c>
      <c r="F4" s="92">
        <v>0.89</v>
      </c>
      <c r="G4" s="92">
        <v>0.97</v>
      </c>
      <c r="H4" s="92">
        <v>0.96</v>
      </c>
      <c r="I4" s="92">
        <v>0.9</v>
      </c>
      <c r="J4" s="93">
        <v>0.87</v>
      </c>
      <c r="K4" s="93">
        <v>0.87</v>
      </c>
      <c r="L4" s="93">
        <v>0.93</v>
      </c>
      <c r="M4" s="93">
        <v>0.95</v>
      </c>
      <c r="N4" s="93">
        <v>0.96</v>
      </c>
      <c r="O4" s="93">
        <v>0.96</v>
      </c>
      <c r="P4" s="93">
        <v>0.97</v>
      </c>
      <c r="Q4" s="93">
        <v>0.83</v>
      </c>
      <c r="R4" s="93">
        <v>0.93</v>
      </c>
      <c r="S4" s="93">
        <v>0.93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90</v>
      </c>
      <c r="B7" s="75"/>
      <c r="C7" s="75"/>
      <c r="D7" s="75"/>
      <c r="E7" s="75"/>
      <c r="F7" s="75"/>
      <c r="G7" s="75"/>
      <c r="H7" s="75"/>
      <c r="I7" s="75"/>
      <c r="J7" s="84"/>
      <c r="K7" s="84"/>
      <c r="L7" s="84"/>
      <c r="M7" s="84"/>
      <c r="N7" s="88"/>
      <c r="O7" s="84"/>
      <c r="P7" s="84"/>
      <c r="Q7" s="84"/>
      <c r="R7" s="84"/>
      <c r="S7" s="88"/>
      <c r="T7" s="16"/>
    </row>
    <row r="8" spans="1:20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51" customHeight="1" x14ac:dyDescent="0.25">
      <c r="A10" s="95" t="s">
        <v>96</v>
      </c>
      <c r="B10" s="97" t="s">
        <v>152</v>
      </c>
      <c r="C10" s="253"/>
      <c r="D10" s="76"/>
      <c r="E10" s="76"/>
      <c r="F10" s="74"/>
      <c r="G10" s="74"/>
      <c r="H10" s="74"/>
      <c r="I10" s="74"/>
      <c r="J10" s="75" t="s">
        <v>134</v>
      </c>
      <c r="K10" s="12">
        <v>360.9</v>
      </c>
      <c r="L10" s="12">
        <v>746.3</v>
      </c>
      <c r="M10" s="12">
        <v>1282.7</v>
      </c>
      <c r="N10" s="71">
        <v>2207.6</v>
      </c>
      <c r="O10" s="12">
        <v>2564.6000000000004</v>
      </c>
      <c r="P10" s="16"/>
      <c r="Q10" s="16"/>
      <c r="R10" s="16"/>
    </row>
    <row r="11" spans="1:20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60" x14ac:dyDescent="0.25">
      <c r="A13" s="95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2:GU47"/>
  <sheetViews>
    <sheetView zoomScale="80" zoomScaleNormal="80" zoomScaleSheetLayoutView="40" workbookViewId="0">
      <pane xSplit="1" topLeftCell="B1" activePane="topRight" state="frozen"/>
      <selection pane="topRight" activeCell="I22" sqref="I22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7" width="10.7109375" customWidth="1"/>
    <col min="18" max="18" width="11.7109375" customWidth="1"/>
    <col min="20" max="20" width="11.5703125" customWidth="1"/>
    <col min="22" max="22" width="13.5703125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149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t="s">
        <v>148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 t="s">
        <v>151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 t="s">
        <v>150</v>
      </c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0.45</v>
      </c>
      <c r="C7" s="29">
        <f>B7/$R$7</f>
        <v>1.2719050310910121E-2</v>
      </c>
      <c r="D7" s="12">
        <v>0.47</v>
      </c>
      <c r="E7" s="29">
        <f>D7/AVERAGE($R$7)</f>
        <v>1.3284341435839458E-2</v>
      </c>
      <c r="F7" s="12">
        <v>0.61</v>
      </c>
      <c r="G7" s="29">
        <f>F7/AVERAGE($R$7)</f>
        <v>1.7241379310344831E-2</v>
      </c>
      <c r="H7" s="33"/>
      <c r="I7" s="12">
        <f>AVERAGE(B7,D7,F7)</f>
        <v>0.5099999999999999</v>
      </c>
      <c r="J7" s="29">
        <f>STDEV(B7,D7,F7)/I7</f>
        <v>0.17093721347218388</v>
      </c>
      <c r="K7" s="19"/>
      <c r="L7" s="12">
        <v>34.85</v>
      </c>
      <c r="M7" s="12"/>
      <c r="N7" s="12"/>
      <c r="O7" s="12">
        <v>35.909999999999997</v>
      </c>
      <c r="P7" s="12"/>
      <c r="Q7" s="12"/>
      <c r="R7" s="53">
        <f>AVERAGE($L7,$O7)</f>
        <v>35.379999999999995</v>
      </c>
      <c r="S7" s="54">
        <f>ABS(L7-O7)/AVERAGE(O7,L7)</f>
        <v>2.9960429621254815E-2</v>
      </c>
      <c r="T7" s="38"/>
      <c r="U7" s="38"/>
      <c r="V7" s="16"/>
      <c r="W7" s="12">
        <v>0.49</v>
      </c>
      <c r="X7" s="29">
        <f>W7/$R7</f>
        <v>1.3849632560768798E-2</v>
      </c>
      <c r="Y7" s="12">
        <v>0.49</v>
      </c>
      <c r="Z7" s="29">
        <f>Y7/$R7</f>
        <v>1.3849632560768798E-2</v>
      </c>
      <c r="AA7" s="12">
        <v>0.51</v>
      </c>
      <c r="AB7" s="29">
        <f>AA7/$R7</f>
        <v>1.4414923685698137E-2</v>
      </c>
      <c r="AC7" s="12">
        <v>0.56000000000000005</v>
      </c>
      <c r="AD7" s="29">
        <f>AC7/$R7</f>
        <v>1.5828151498021484E-2</v>
      </c>
      <c r="AE7" s="12">
        <v>0.48</v>
      </c>
      <c r="AF7" s="29">
        <f>AE7/$R7</f>
        <v>1.3566986998304128E-2</v>
      </c>
      <c r="AG7" s="16"/>
      <c r="AH7" s="38"/>
      <c r="AI7" s="20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43"/>
      <c r="AU7" s="12">
        <v>0.48</v>
      </c>
      <c r="AV7" s="29">
        <f>AU7/AVERAGE($R$7)</f>
        <v>1.3566986998304128E-2</v>
      </c>
      <c r="AW7" s="12">
        <v>0.49</v>
      </c>
      <c r="AX7" s="29">
        <f>AW7/AVERAGE($R$7)</f>
        <v>1.3849632560768798E-2</v>
      </c>
      <c r="AY7" s="12">
        <v>0.5</v>
      </c>
      <c r="AZ7" s="29">
        <f>AY7/AVERAGE($R$7)</f>
        <v>1.4132278123233467E-2</v>
      </c>
      <c r="BA7" s="12">
        <v>0.49</v>
      </c>
      <c r="BB7" s="29">
        <f>BA7/AVERAGE($R$7)</f>
        <v>1.3849632560768798E-2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24.17</v>
      </c>
      <c r="C8" s="30">
        <f>B8/$R8</f>
        <v>0.72224712386074996</v>
      </c>
      <c r="D8" s="12">
        <v>32.9</v>
      </c>
      <c r="E8" s="30">
        <f>D8/$R8</f>
        <v>0.9831166890781412</v>
      </c>
      <c r="F8" s="12">
        <v>25.75</v>
      </c>
      <c r="G8" s="30">
        <f>F8/$R8</f>
        <v>0.76946063050948743</v>
      </c>
      <c r="H8" s="34"/>
      <c r="I8" s="274">
        <f>AVERAGE(B8,D8,F8)</f>
        <v>27.606666666666666</v>
      </c>
      <c r="J8" s="30">
        <f>STDEV(B8,D8,F8)/I8</f>
        <v>0.16850040244696635</v>
      </c>
      <c r="K8" s="19"/>
      <c r="L8" s="12">
        <v>32.89</v>
      </c>
      <c r="M8" s="12"/>
      <c r="N8" s="12"/>
      <c r="O8" s="12">
        <v>34.04</v>
      </c>
      <c r="P8" s="12"/>
      <c r="Q8" s="12"/>
      <c r="R8" s="141">
        <f>AVERAGE($L8,$O8)</f>
        <v>33.465000000000003</v>
      </c>
      <c r="S8" s="54">
        <f>ABS(L8-O8)/AVERAGE(O8,L8)</f>
        <v>3.4364261168384834E-2</v>
      </c>
      <c r="T8" s="38"/>
      <c r="U8" s="38"/>
      <c r="V8" s="16"/>
      <c r="W8" s="12">
        <v>29.17</v>
      </c>
      <c r="X8" s="30">
        <f>W8/$R8</f>
        <v>0.87165695502764073</v>
      </c>
      <c r="Y8" s="12">
        <v>28.99</v>
      </c>
      <c r="Z8" s="30">
        <f>Y8/$R8</f>
        <v>0.86627820110563258</v>
      </c>
      <c r="AA8" s="12">
        <v>31.16</v>
      </c>
      <c r="AB8" s="30">
        <f>AA8/$R8</f>
        <v>0.9311220678320633</v>
      </c>
      <c r="AC8" s="12">
        <v>31.71</v>
      </c>
      <c r="AD8" s="30">
        <f>AC8/$R8</f>
        <v>0.94755714926042123</v>
      </c>
      <c r="AE8" s="12">
        <v>32.11</v>
      </c>
      <c r="AF8" s="30">
        <f>AE8/$R8</f>
        <v>0.95950993575377252</v>
      </c>
      <c r="AG8" s="16"/>
      <c r="AH8" s="23"/>
      <c r="AI8" s="20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43"/>
      <c r="AU8" s="12">
        <v>32.28</v>
      </c>
      <c r="AV8" s="30">
        <f>AU8/AVERAGE($R$8)</f>
        <v>0.96458987001344687</v>
      </c>
      <c r="AW8" s="12">
        <v>31.97</v>
      </c>
      <c r="AX8" s="30">
        <f>AW8/AVERAGE($R$8)</f>
        <v>0.95532646048109948</v>
      </c>
      <c r="AY8" s="12">
        <v>31.97</v>
      </c>
      <c r="AZ8" s="30">
        <f>AY8/AVERAGE($R$8)</f>
        <v>0.95532646048109948</v>
      </c>
      <c r="BA8" s="12">
        <v>30.27</v>
      </c>
      <c r="BB8" s="30">
        <f>BA8/AVERAGE($R$8)</f>
        <v>0.90452711788435669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5.75</v>
      </c>
      <c r="C9" s="30">
        <f>B9/$R9</f>
        <v>1.25</v>
      </c>
      <c r="D9" s="12">
        <v>5.81</v>
      </c>
      <c r="E9" s="30">
        <f>D9/$R9</f>
        <v>1.2630434782608695</v>
      </c>
      <c r="F9" s="12"/>
      <c r="G9" s="29">
        <f>F9/$R9</f>
        <v>0</v>
      </c>
      <c r="H9" s="34"/>
      <c r="I9" s="12">
        <f>AVERAGE(B9,D9,F9)</f>
        <v>5.7799999999999994</v>
      </c>
      <c r="J9" s="30">
        <f>STDEV(B9,D9,F9)/I9</f>
        <v>7.3402088012443911E-3</v>
      </c>
      <c r="K9" s="16"/>
      <c r="L9" s="12">
        <v>4.74</v>
      </c>
      <c r="M9" s="12"/>
      <c r="N9" s="12"/>
      <c r="O9" s="12">
        <v>4.46</v>
      </c>
      <c r="P9" s="12"/>
      <c r="Q9" s="12"/>
      <c r="R9" s="53">
        <f>AVERAGE($L9,$O9)</f>
        <v>4.5999999999999996</v>
      </c>
      <c r="S9" s="54">
        <f>ABS(L9-O9)/AVERAGE(O9,L9)</f>
        <v>6.0869565217391362E-2</v>
      </c>
      <c r="T9" s="38"/>
      <c r="U9" s="38"/>
      <c r="V9" s="16"/>
      <c r="W9" s="28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5.32</v>
      </c>
      <c r="AK9" s="12">
        <f>AJ9/0.5*10</f>
        <v>106.4</v>
      </c>
      <c r="AL9">
        <v>15.29</v>
      </c>
      <c r="AM9" s="12">
        <f>AL9/0.5*10</f>
        <v>305.79999999999995</v>
      </c>
      <c r="AN9" s="12">
        <v>32.83</v>
      </c>
      <c r="AO9" s="12">
        <f>AN9/0.5*10</f>
        <v>656.59999999999991</v>
      </c>
      <c r="AP9" s="12">
        <v>39.57</v>
      </c>
      <c r="AQ9" s="12">
        <f>AP9/0.5*10</f>
        <v>791.4</v>
      </c>
      <c r="AR9" s="12">
        <v>28.98</v>
      </c>
      <c r="AS9" s="12">
        <f>AR9/0.5*20</f>
        <v>1159.2</v>
      </c>
      <c r="AT9" s="45"/>
      <c r="AU9" s="12">
        <v>9.82</v>
      </c>
      <c r="AV9" s="12"/>
      <c r="AW9" s="12">
        <v>12.66</v>
      </c>
      <c r="AX9" s="12"/>
      <c r="AY9" s="12">
        <v>11.79</v>
      </c>
      <c r="AZ9" s="12"/>
      <c r="BA9" s="12">
        <v>5.85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12.43</v>
      </c>
      <c r="C10" s="30">
        <f>B10/$R10</f>
        <v>1.1595149253731345</v>
      </c>
      <c r="D10" s="12">
        <v>11.54</v>
      </c>
      <c r="E10" s="30">
        <f>D10/$R10</f>
        <v>1.0764925373134329</v>
      </c>
      <c r="F10" s="12"/>
      <c r="G10" s="29">
        <f>F10/$R10</f>
        <v>0</v>
      </c>
      <c r="H10" s="34"/>
      <c r="I10" s="274">
        <f>AVERAGE(B10,D10,F10)</f>
        <v>11.984999999999999</v>
      </c>
      <c r="J10" s="30">
        <f>STDEV(B10,D10,F10)/I10</f>
        <v>5.2509389675096177E-2</v>
      </c>
      <c r="K10" s="16"/>
      <c r="L10" s="12">
        <v>10.53</v>
      </c>
      <c r="M10" s="12"/>
      <c r="N10" s="12"/>
      <c r="O10" s="12">
        <v>10.91</v>
      </c>
      <c r="P10" s="12"/>
      <c r="Q10" s="12"/>
      <c r="R10" s="53">
        <f>AVERAGE($L10,$O10)</f>
        <v>10.719999999999999</v>
      </c>
      <c r="S10" s="54">
        <f>ABS(L10-O10)/AVERAGE(O10,L10)</f>
        <v>3.5447761194029925E-2</v>
      </c>
      <c r="T10" s="38"/>
      <c r="U10" s="38"/>
      <c r="V10" s="16"/>
      <c r="W10" s="28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10.37</v>
      </c>
      <c r="AK10" s="12">
        <f>AJ10/0.5*10</f>
        <v>207.39999999999998</v>
      </c>
      <c r="AL10">
        <v>28.87</v>
      </c>
      <c r="AM10" s="12">
        <f>AL10/0.5*10</f>
        <v>577.4</v>
      </c>
      <c r="AN10" s="12">
        <v>56.53</v>
      </c>
      <c r="AO10" s="12">
        <f>AN10/0.5*10</f>
        <v>1130.5999999999999</v>
      </c>
      <c r="AP10" s="12">
        <v>80.319999999999993</v>
      </c>
      <c r="AQ10" s="12">
        <f>AP10/0.5*10</f>
        <v>1606.3999999999999</v>
      </c>
      <c r="AR10" s="12">
        <v>54.2</v>
      </c>
      <c r="AS10" s="12">
        <f>AR10/0.5*20</f>
        <v>2168</v>
      </c>
      <c r="AT10" s="45"/>
      <c r="AU10" s="12">
        <v>34.35</v>
      </c>
      <c r="AV10" s="12"/>
      <c r="AW10" s="12">
        <v>32.81</v>
      </c>
      <c r="AX10" s="12"/>
      <c r="AY10" s="12">
        <v>32.74</v>
      </c>
      <c r="AZ10" s="12"/>
      <c r="BA10" s="12">
        <v>11.51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18.18</v>
      </c>
      <c r="C11" s="30">
        <f>B11/$R11</f>
        <v>1.1866840731070496</v>
      </c>
      <c r="D11" s="52">
        <f>SUM(D$10+D$9)</f>
        <v>17.349999999999998</v>
      </c>
      <c r="E11" s="30">
        <f>D11/$R11</f>
        <v>1.1325065274151433</v>
      </c>
      <c r="F11" s="52">
        <f>SUM(F$10+F$9)</f>
        <v>0</v>
      </c>
      <c r="G11" s="29">
        <f>F11/$R11</f>
        <v>0</v>
      </c>
      <c r="H11" s="34"/>
      <c r="I11" s="274">
        <f>AVERAGE(B11,D11)</f>
        <v>17.765000000000001</v>
      </c>
      <c r="J11" s="29">
        <f>STDEV(B11,D11,)/I11</f>
        <v>0.57782267883890748</v>
      </c>
      <c r="K11" s="19"/>
      <c r="L11" s="52">
        <f t="shared" ref="L11:Q11" si="0">SUM(L9,L10)</f>
        <v>15.27</v>
      </c>
      <c r="M11" s="52">
        <f t="shared" si="0"/>
        <v>0</v>
      </c>
      <c r="N11" s="52">
        <f t="shared" si="0"/>
        <v>0</v>
      </c>
      <c r="O11" s="52">
        <f t="shared" si="0"/>
        <v>15.370000000000001</v>
      </c>
      <c r="P11" s="52">
        <f t="shared" si="0"/>
        <v>0</v>
      </c>
      <c r="Q11" s="52">
        <f t="shared" si="0"/>
        <v>0</v>
      </c>
      <c r="R11" s="53">
        <f>AVERAGE($L11,$O11)</f>
        <v>15.32</v>
      </c>
      <c r="S11" s="54">
        <f>ABS(L11-O11)/AVERAGE(O11,L11)</f>
        <v>6.5274151436032256E-3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3">
        <f>SUM(AJ10,AJ9)</f>
        <v>15.69</v>
      </c>
      <c r="AK11" s="12">
        <f>AJ11/0.5*10</f>
        <v>313.8</v>
      </c>
      <c r="AL11" s="13">
        <f>SUM(AL10,AL9)</f>
        <v>44.16</v>
      </c>
      <c r="AM11" s="12">
        <f>AL11/0.5*10</f>
        <v>883.19999999999993</v>
      </c>
      <c r="AN11" s="13">
        <f>SUM(AN10,AN9)</f>
        <v>89.36</v>
      </c>
      <c r="AO11" s="12">
        <f>AN11/0.5*10</f>
        <v>1787.2</v>
      </c>
      <c r="AP11" s="13">
        <f>SUM(AP10,AP9)</f>
        <v>119.88999999999999</v>
      </c>
      <c r="AQ11" s="12">
        <f>AP11/0.5*10</f>
        <v>2397.7999999999997</v>
      </c>
      <c r="AR11" s="13">
        <f>SUM(AR10,AR9)</f>
        <v>83.18</v>
      </c>
      <c r="AS11" s="12">
        <f>AR11/0.5*20</f>
        <v>3327.2000000000003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55">
        <f t="shared" ref="L12:R12" si="1">(L7+L8+L11)/3</f>
        <v>27.67</v>
      </c>
      <c r="M12" s="55">
        <f>(M7+M8+M11)/3</f>
        <v>0</v>
      </c>
      <c r="N12" s="55">
        <f t="shared" si="1"/>
        <v>0</v>
      </c>
      <c r="O12" s="55">
        <f>(O7+O8+O11)/3</f>
        <v>28.439999999999998</v>
      </c>
      <c r="P12" s="55">
        <f t="shared" si="1"/>
        <v>0</v>
      </c>
      <c r="Q12" s="55">
        <f t="shared" si="1"/>
        <v>0</v>
      </c>
      <c r="R12" s="275">
        <f t="shared" si="1"/>
        <v>28.054999999999996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31"/>
      <c r="AK12" s="99">
        <f>AK11/AJ13</f>
        <v>0.62760000000000005</v>
      </c>
      <c r="AL12" s="31"/>
      <c r="AM12" s="69">
        <f>AM11/AL13</f>
        <v>0.88319999999999999</v>
      </c>
      <c r="AN12" s="31"/>
      <c r="AO12" s="69">
        <f>AO11/AN13</f>
        <v>0.89360000000000006</v>
      </c>
      <c r="AP12" s="31"/>
      <c r="AQ12" s="69">
        <f>AQ11/AP13</f>
        <v>0.79926666666666657</v>
      </c>
      <c r="AR12" s="31"/>
      <c r="AS12" s="69">
        <f>AS11/AR13</f>
        <v>0.83180000000000009</v>
      </c>
      <c r="AT12" s="2">
        <f>AVERAGE(AK12,AM12,AO12,AQ12,AS12)</f>
        <v>0.80709333333333344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29">
        <f>ABS(B11-B13)/B13</f>
        <v>0.54549999999999998</v>
      </c>
      <c r="C14" s="33"/>
      <c r="D14" s="29">
        <f>ABS(D11-D13)/D13</f>
        <v>0.56625000000000003</v>
      </c>
      <c r="E14" s="34"/>
      <c r="F14" s="29">
        <f>ABS(F11-F13)/F13</f>
        <v>1</v>
      </c>
      <c r="G14" s="34"/>
      <c r="H14" s="34"/>
      <c r="I14" s="34"/>
      <c r="J14" s="34"/>
      <c r="K14" s="38"/>
      <c r="L14" s="29">
        <f t="shared" ref="L14:R14" si="2">(L12-L13)/L13</f>
        <v>-0.30824999999999997</v>
      </c>
      <c r="M14" s="29">
        <f t="shared" si="2"/>
        <v>-1</v>
      </c>
      <c r="N14" s="29">
        <f t="shared" si="2"/>
        <v>-1</v>
      </c>
      <c r="O14" s="29">
        <f t="shared" si="2"/>
        <v>-0.28900000000000003</v>
      </c>
      <c r="P14" s="29">
        <f t="shared" si="2"/>
        <v>-1</v>
      </c>
      <c r="Q14" s="29">
        <f t="shared" si="2"/>
        <v>-1</v>
      </c>
      <c r="R14" s="29">
        <f t="shared" si="2"/>
        <v>-0.29862500000000008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100">
        <f>ABS(AK11-AJ13)/AJ13</f>
        <v>0.37239999999999995</v>
      </c>
      <c r="AK14" s="61"/>
      <c r="AL14" s="72">
        <f>ABS(AM11-AL13)/AL13</f>
        <v>0.11680000000000007</v>
      </c>
      <c r="AM14" s="62"/>
      <c r="AN14" s="72">
        <f>ABS(AO11-AN13)/AN13</f>
        <v>0.10639999999999998</v>
      </c>
      <c r="AO14" s="62"/>
      <c r="AP14" s="72">
        <f>ABS(AQ11-AP13)/AP13</f>
        <v>0.20073333333333343</v>
      </c>
      <c r="AQ14" s="62"/>
      <c r="AR14" s="72">
        <f>ABS(AS11-AR13)/AR13</f>
        <v>0.16819999999999993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0.91662931420887483</v>
      </c>
      <c r="X15" s="71"/>
      <c r="Y15" s="30">
        <f>AVERAGE(Z8,Z19)</f>
        <v>0.91662931420887483</v>
      </c>
      <c r="Z15" s="71"/>
      <c r="AA15" s="30">
        <f>AVERAGE(AB8,AB19)</f>
        <v>0.88301210219632442</v>
      </c>
      <c r="AB15" s="71"/>
      <c r="AC15" s="30">
        <f>AVERAGE(AD8,AD19)</f>
        <v>0.93859255939040775</v>
      </c>
      <c r="AD15" s="71"/>
      <c r="AE15" s="30">
        <f>AVERAGE(AF8,AF19)</f>
        <v>0.94606305094875243</v>
      </c>
      <c r="AF15" s="16"/>
      <c r="AG15" s="16"/>
      <c r="AH15" s="16"/>
      <c r="AI15" s="68" t="s">
        <v>129</v>
      </c>
      <c r="AJ15" s="103">
        <f>AVERAGE(AK11,AK22)</f>
        <v>360.9</v>
      </c>
      <c r="AK15" s="71"/>
      <c r="AL15" s="103">
        <f>AVERAGE(AM11,AM22)</f>
        <v>746.3</v>
      </c>
      <c r="AM15" s="71"/>
      <c r="AN15" s="103">
        <f>AVERAGE(AO22,AO11)</f>
        <v>1282.7</v>
      </c>
      <c r="AO15" s="71"/>
      <c r="AP15" s="103">
        <f>AVERAGE(AQ11,AQ22)</f>
        <v>2207.6</v>
      </c>
      <c r="AQ15" s="71"/>
      <c r="AR15" s="103">
        <f>AVERAGE(AS11,AS22)</f>
        <v>2564.6000000000004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 t="s">
        <v>8</v>
      </c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>
        <v>0.48</v>
      </c>
      <c r="C18" s="29">
        <f>B18/$R$7</f>
        <v>1.3566986998304128E-2</v>
      </c>
      <c r="D18" s="12">
        <v>0.48</v>
      </c>
      <c r="E18" s="29">
        <f>D18/$R$7</f>
        <v>1.3566986998304128E-2</v>
      </c>
      <c r="F18" s="12">
        <v>0.81</v>
      </c>
      <c r="G18" s="29">
        <f>F18/$R$7</f>
        <v>2.2894290559638219E-2</v>
      </c>
      <c r="H18" s="33"/>
      <c r="I18" s="12">
        <f>AVERAGE(B18,D18,F18)</f>
        <v>0.59</v>
      </c>
      <c r="J18" s="29">
        <f>STDEV(B18,D18,F18)/I18</f>
        <v>0.32292472683487594</v>
      </c>
      <c r="K18" s="1"/>
      <c r="L18" s="58"/>
      <c r="M18" s="58"/>
      <c r="N18" s="58"/>
      <c r="O18" s="58"/>
      <c r="P18" s="58"/>
      <c r="Q18" s="1"/>
      <c r="S18" s="38"/>
      <c r="T18" s="38"/>
      <c r="U18" s="38"/>
      <c r="V18" s="16"/>
      <c r="W18" s="12">
        <v>0.5</v>
      </c>
      <c r="X18" s="29">
        <f>W18/$R$7</f>
        <v>1.4132278123233467E-2</v>
      </c>
      <c r="Y18" s="12">
        <v>0.53</v>
      </c>
      <c r="Z18" s="29">
        <f>Y18/$R$7</f>
        <v>1.4980214810627475E-2</v>
      </c>
      <c r="AA18" s="12">
        <v>0.48</v>
      </c>
      <c r="AB18" s="29">
        <f>AA18/$R$7</f>
        <v>1.3566986998304128E-2</v>
      </c>
      <c r="AC18" s="12">
        <v>0.47</v>
      </c>
      <c r="AD18" s="29">
        <f>AC18/$R$7</f>
        <v>1.3284341435839458E-2</v>
      </c>
      <c r="AE18" s="12">
        <v>0.53</v>
      </c>
      <c r="AF18" s="29">
        <f>AE18/$R$7</f>
        <v>1.4980214810627475E-2</v>
      </c>
      <c r="AG18" s="16"/>
      <c r="AH18" s="38"/>
      <c r="AI18" s="20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>
        <v>28.37</v>
      </c>
      <c r="C19" s="30">
        <f>B19/$R8</f>
        <v>0.84775138204093825</v>
      </c>
      <c r="D19" s="12">
        <v>29.88</v>
      </c>
      <c r="E19" s="30">
        <f>D19/$R8</f>
        <v>0.8928731510533392</v>
      </c>
      <c r="F19" s="12">
        <v>32.35</v>
      </c>
      <c r="G19" s="30">
        <f>F19/$R8</f>
        <v>0.96668160764978328</v>
      </c>
      <c r="H19" s="34"/>
      <c r="I19" s="12">
        <f>AVERAGE(B19,D19,F19)</f>
        <v>30.2</v>
      </c>
      <c r="J19" s="30">
        <f>STDEV(B19,D19,F19)/I19</f>
        <v>6.6529927894478369E-2</v>
      </c>
      <c r="K19" s="11"/>
      <c r="L19" s="58"/>
      <c r="M19" s="58"/>
      <c r="N19" s="58"/>
      <c r="O19" s="58"/>
      <c r="P19" s="58"/>
      <c r="S19" s="38"/>
      <c r="T19" s="38"/>
      <c r="U19" s="38"/>
      <c r="V19" s="16"/>
      <c r="W19" s="12">
        <v>32.18</v>
      </c>
      <c r="X19" s="30">
        <f>W19/$R$8</f>
        <v>0.96160167339010894</v>
      </c>
      <c r="Y19" s="12">
        <v>32.36</v>
      </c>
      <c r="Z19" s="30">
        <f>Y19/$R$8</f>
        <v>0.96698042731211697</v>
      </c>
      <c r="AA19" s="12">
        <v>27.94</v>
      </c>
      <c r="AB19" s="30">
        <f>AA19/$R$8</f>
        <v>0.83490213656058565</v>
      </c>
      <c r="AC19" s="12">
        <v>31.11</v>
      </c>
      <c r="AD19" s="30">
        <f>AC19/$R$8</f>
        <v>0.92962796952039428</v>
      </c>
      <c r="AE19" s="12">
        <v>31.21</v>
      </c>
      <c r="AF19" s="30">
        <f>AE19/$R$8</f>
        <v>0.93261616614373222</v>
      </c>
      <c r="AG19" s="16"/>
      <c r="AH19" s="23"/>
      <c r="AI19" s="20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>
        <v>5.04</v>
      </c>
      <c r="C20" s="30">
        <f>B20/$R9</f>
        <v>1.0956521739130436</v>
      </c>
      <c r="D20" s="12">
        <v>5.62</v>
      </c>
      <c r="E20" s="30">
        <f>D20/$R9</f>
        <v>1.2217391304347827</v>
      </c>
      <c r="F20" s="12">
        <v>6.41</v>
      </c>
      <c r="G20" s="30">
        <f>F20/$R9</f>
        <v>1.3934782608695653</v>
      </c>
      <c r="H20" s="34"/>
      <c r="I20" s="12">
        <f>AVERAGE(B20,D20,F20)</f>
        <v>5.69</v>
      </c>
      <c r="J20" s="30">
        <f>STDEV(B20,D20,F20)/I20</f>
        <v>0.12085716166575883</v>
      </c>
      <c r="L20" s="58"/>
      <c r="M20" s="58"/>
      <c r="N20" s="58"/>
      <c r="O20" s="58"/>
      <c r="P20" s="58"/>
      <c r="S20" s="38"/>
      <c r="T20" s="38"/>
      <c r="U20" s="38"/>
      <c r="V20" s="16"/>
      <c r="W20" s="28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11.61</v>
      </c>
      <c r="AK20" s="12">
        <f>AJ20/0.5*10</f>
        <v>232.2</v>
      </c>
      <c r="AL20" s="12">
        <v>15</v>
      </c>
      <c r="AM20" s="12">
        <f>AL20/0.5*10</f>
        <v>300</v>
      </c>
      <c r="AN20" s="12">
        <v>22.36</v>
      </c>
      <c r="AO20" s="12">
        <f>AN20/0.5*10</f>
        <v>447.2</v>
      </c>
      <c r="AP20" s="12">
        <v>38.54</v>
      </c>
      <c r="AQ20" s="12">
        <f>AP20/0.5*10</f>
        <v>770.8</v>
      </c>
      <c r="AR20" s="12">
        <v>25.62</v>
      </c>
      <c r="AS20" s="12">
        <f>AR20/0.5*20</f>
        <v>1024.8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>
        <v>12.91</v>
      </c>
      <c r="C21" s="30">
        <f>B21/$R10</f>
        <v>1.2042910447761195</v>
      </c>
      <c r="D21" s="12">
        <v>12.15</v>
      </c>
      <c r="E21" s="30">
        <f>D21/$R10</f>
        <v>1.1333955223880599</v>
      </c>
      <c r="F21" s="12">
        <v>10.75</v>
      </c>
      <c r="G21" s="30">
        <f>F21/$R10</f>
        <v>1.0027985074626866</v>
      </c>
      <c r="H21" s="34"/>
      <c r="I21" s="274">
        <f>AVERAGE(B21,D21,F21)</f>
        <v>11.936666666666667</v>
      </c>
      <c r="J21" s="30">
        <f>STDEV(B21,D21,F21)/I21</f>
        <v>9.179183358414636E-2</v>
      </c>
      <c r="L21" s="58"/>
      <c r="M21" s="58"/>
      <c r="N21" s="58"/>
      <c r="O21" s="58"/>
      <c r="P21" s="58"/>
      <c r="S21" s="38"/>
      <c r="T21" s="38"/>
      <c r="U21" s="38"/>
      <c r="V21" s="16"/>
      <c r="W21" s="28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8.7899999999999991</v>
      </c>
      <c r="AK21" s="12">
        <f>AJ21/0.5*10</f>
        <v>175.79999999999998</v>
      </c>
      <c r="AL21" s="12">
        <v>15.47</v>
      </c>
      <c r="AM21" s="12">
        <f>AL21/0.5*10</f>
        <v>309.40000000000003</v>
      </c>
      <c r="AN21" s="12">
        <v>16.55</v>
      </c>
      <c r="AO21" s="12">
        <f>AN21/0.5*10</f>
        <v>331</v>
      </c>
      <c r="AP21" s="12">
        <v>62.33</v>
      </c>
      <c r="AQ21" s="12">
        <f>AP21/0.5*10</f>
        <v>1246.5999999999999</v>
      </c>
      <c r="AR21" s="12">
        <v>19.43</v>
      </c>
      <c r="AS21" s="12">
        <f>AR21/0.5*20</f>
        <v>777.2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x14ac:dyDescent="0.25">
      <c r="A22" t="s">
        <v>20</v>
      </c>
      <c r="B22" s="13">
        <f>B20+B21</f>
        <v>17.95</v>
      </c>
      <c r="C22" s="30">
        <f>B22/$R11</f>
        <v>1.1716710182767622</v>
      </c>
      <c r="D22" s="13">
        <f>D20+D21</f>
        <v>17.77</v>
      </c>
      <c r="E22" s="30">
        <f>D22/$R11</f>
        <v>1.1599216710182767</v>
      </c>
      <c r="F22" s="13">
        <f>F20+F21</f>
        <v>17.16</v>
      </c>
      <c r="G22" s="30">
        <f>F22/$R11</f>
        <v>1.1201044386422976</v>
      </c>
      <c r="H22" s="34"/>
      <c r="I22" s="274">
        <f>AVERAGE(B22,D22,F22)</f>
        <v>17.626666666666665</v>
      </c>
      <c r="J22" s="30">
        <f>STDEV(B22,D22,F22)/I22</f>
        <v>2.3489698531305194E-2</v>
      </c>
      <c r="L22" s="58"/>
      <c r="M22" s="58"/>
      <c r="N22" s="58"/>
      <c r="O22" s="58"/>
      <c r="P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3">
        <f>SUM(AJ21,AJ20)</f>
        <v>20.399999999999999</v>
      </c>
      <c r="AK22">
        <f>AJ22/0.5*10</f>
        <v>408</v>
      </c>
      <c r="AL22" s="13">
        <f>SUM(AL21,AL20)</f>
        <v>30.47</v>
      </c>
      <c r="AM22" s="12">
        <f>AL22/0.5*10</f>
        <v>609.4</v>
      </c>
      <c r="AN22" s="13">
        <f>SUM(AN21,AN20)</f>
        <v>38.909999999999997</v>
      </c>
      <c r="AO22" s="12">
        <f>AN22/0.5*10</f>
        <v>778.19999999999993</v>
      </c>
      <c r="AP22" s="13">
        <f>SUM(AP21,AP20)</f>
        <v>100.87</v>
      </c>
      <c r="AQ22" s="12">
        <f>AP22/0.5*10</f>
        <v>2017.4</v>
      </c>
      <c r="AR22" s="13">
        <f>SUM(AR21,AR20)</f>
        <v>45.05</v>
      </c>
      <c r="AS22" s="12">
        <f>AR22/0.5*20</f>
        <v>1802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69">
        <f>AK22/AJ24</f>
        <v>0.81599999999999995</v>
      </c>
      <c r="AL23" s="31"/>
      <c r="AM23" s="69">
        <f>AM22/AL24</f>
        <v>0.60939999999999994</v>
      </c>
      <c r="AN23" s="31"/>
      <c r="AO23" s="99">
        <f>AO22/AN24</f>
        <v>0.38909999999999995</v>
      </c>
      <c r="AP23" s="31"/>
      <c r="AQ23" s="69">
        <f>AQ22/AP24</f>
        <v>0.67246666666666666</v>
      </c>
      <c r="AR23" s="31"/>
      <c r="AS23" s="99">
        <f>AS22/AR24</f>
        <v>0.45050000000000001</v>
      </c>
      <c r="AT23" s="2">
        <f>AVERAGE(AK23,AM23,AO23,AQ23,AS23)</f>
        <v>0.58749333333333331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29">
        <f>ABS(B22-B24)/B24</f>
        <v>0.55125000000000002</v>
      </c>
      <c r="C25" s="33"/>
      <c r="D25" s="29">
        <f>ABS(D22-D24)/D24</f>
        <v>0.55574999999999997</v>
      </c>
      <c r="E25" s="34"/>
      <c r="F25" s="29">
        <f>ABS(F22-F24)/F24</f>
        <v>0.57099999999999995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30">
        <f>ABS(AK22-AJ24)/AJ24</f>
        <v>0.184</v>
      </c>
      <c r="AK25" s="23"/>
      <c r="AL25" s="29">
        <f>ABS(AM22-AL24)/AL24</f>
        <v>0.3906</v>
      </c>
      <c r="AM25" s="38"/>
      <c r="AN25" s="29">
        <f>ABS(AO22-AN24)/AN24</f>
        <v>0.61090000000000011</v>
      </c>
      <c r="AO25" s="38"/>
      <c r="AP25" s="29">
        <f>ABS(AQ22-AP24)/AP24</f>
        <v>0.32753333333333329</v>
      </c>
      <c r="AQ25" s="38"/>
      <c r="AR25" s="29">
        <f>ABS(AS22-AR24)/AR24</f>
        <v>0.54949999999999999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T26" s="35"/>
      <c r="AX26" s="35"/>
      <c r="AY26" s="35"/>
      <c r="AZ26" s="35"/>
      <c r="BA26" s="35"/>
      <c r="BB26" s="35"/>
      <c r="BC26" s="35"/>
    </row>
    <row r="28" spans="1:132" x14ac:dyDescent="0.25">
      <c r="A28" t="s">
        <v>26</v>
      </c>
    </row>
    <row r="29" spans="1:132" x14ac:dyDescent="0.25">
      <c r="A29" t="s">
        <v>3</v>
      </c>
    </row>
    <row r="30" spans="1:132" x14ac:dyDescent="0.25">
      <c r="A30" t="str">
        <f>"-OR-"</f>
        <v>-OR-</v>
      </c>
    </row>
    <row r="31" spans="1:132" x14ac:dyDescent="0.25">
      <c r="A31" t="s">
        <v>24</v>
      </c>
    </row>
    <row r="32" spans="1:132" x14ac:dyDescent="0.25">
      <c r="A32" t="s">
        <v>25</v>
      </c>
    </row>
    <row r="34" spans="1:23" x14ac:dyDescent="0.25">
      <c r="A34" t="s">
        <v>23</v>
      </c>
    </row>
    <row r="35" spans="1:23" x14ac:dyDescent="0.25">
      <c r="A35" t="s">
        <v>18</v>
      </c>
    </row>
    <row r="37" spans="1:23" x14ac:dyDescent="0.25">
      <c r="A37" t="s">
        <v>19</v>
      </c>
    </row>
    <row r="38" spans="1:23" x14ac:dyDescent="0.25">
      <c r="A38" t="s">
        <v>3</v>
      </c>
    </row>
    <row r="40" spans="1:23" x14ac:dyDescent="0.25">
      <c r="A40" t="s">
        <v>14</v>
      </c>
    </row>
    <row r="41" spans="1:23" x14ac:dyDescent="0.25">
      <c r="A41" t="s">
        <v>4</v>
      </c>
    </row>
    <row r="43" spans="1:23" x14ac:dyDescent="0.25">
      <c r="A43" t="s">
        <v>27</v>
      </c>
    </row>
    <row r="44" spans="1:23" x14ac:dyDescent="0.25">
      <c r="A44" t="s">
        <v>28</v>
      </c>
    </row>
    <row r="45" spans="1:23" x14ac:dyDescent="0.25">
      <c r="A45" t="s">
        <v>29</v>
      </c>
    </row>
    <row r="46" spans="1:2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pageMargins left="0.7" right="0.7" top="0.75" bottom="0.75" header="0.3" footer="0.3"/>
  <pageSetup orientation="portrait" r:id="rId1"/>
  <ignoredErrors>
    <ignoredError sqref="AL11:AO11 AK11 AQ22 AO22 AM22 AK22 AP11:AQ11 C22:E22 F22 C11:D11 F11" formula="1"/>
    <ignoredError sqref="E7 C7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</sheetPr>
  <dimension ref="A1:T13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10" max="10" width="12.5703125" customWidth="1"/>
    <col min="11" max="11" width="9.28515625" customWidth="1"/>
  </cols>
  <sheetData>
    <row r="1" spans="1:20" ht="47.25" customHeight="1" x14ac:dyDescent="0.25">
      <c r="A1" s="79" t="s">
        <v>92</v>
      </c>
      <c r="B1" s="82"/>
      <c r="C1" s="76"/>
      <c r="D1" s="76"/>
      <c r="E1" s="76"/>
      <c r="F1" s="76"/>
      <c r="G1" s="76"/>
      <c r="H1" s="76"/>
      <c r="I1" s="76"/>
      <c r="J1" s="80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77" t="s">
        <v>34</v>
      </c>
      <c r="C2" s="77" t="s">
        <v>35</v>
      </c>
      <c r="D2" s="77" t="s">
        <v>83</v>
      </c>
      <c r="E2" s="77" t="s">
        <v>42</v>
      </c>
      <c r="F2" s="77" t="s">
        <v>43</v>
      </c>
      <c r="G2" s="77" t="s">
        <v>44</v>
      </c>
      <c r="H2" s="77" t="s">
        <v>87</v>
      </c>
      <c r="I2" s="77" t="s">
        <v>41</v>
      </c>
      <c r="J2" s="111" t="s">
        <v>153</v>
      </c>
      <c r="K2" s="111" t="s">
        <v>36</v>
      </c>
      <c r="L2" s="111" t="s">
        <v>154</v>
      </c>
      <c r="M2" s="111" t="s">
        <v>155</v>
      </c>
      <c r="N2" s="111" t="s">
        <v>84</v>
      </c>
      <c r="O2" s="111" t="s">
        <v>156</v>
      </c>
      <c r="P2" s="111" t="s">
        <v>38</v>
      </c>
      <c r="Q2" s="111" t="s">
        <v>157</v>
      </c>
      <c r="R2" s="111" t="s">
        <v>39</v>
      </c>
      <c r="S2" s="111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89">
        <v>0.93</v>
      </c>
      <c r="C4" s="90">
        <v>0.92</v>
      </c>
      <c r="D4" s="90">
        <v>0.84</v>
      </c>
      <c r="E4" s="110">
        <v>103</v>
      </c>
      <c r="F4" s="92">
        <v>0.83</v>
      </c>
      <c r="G4" s="92">
        <v>0.9</v>
      </c>
      <c r="H4" s="92">
        <v>0.78</v>
      </c>
      <c r="I4" s="92">
        <v>0.81</v>
      </c>
      <c r="J4" s="93">
        <v>0.91</v>
      </c>
      <c r="K4" s="93">
        <v>0.84</v>
      </c>
      <c r="L4" s="93">
        <v>0.82</v>
      </c>
      <c r="M4" s="93">
        <v>0.72</v>
      </c>
      <c r="N4" s="93">
        <v>0.73</v>
      </c>
      <c r="O4" s="93">
        <v>1.01</v>
      </c>
      <c r="P4" s="93">
        <v>0.91</v>
      </c>
      <c r="Q4" s="93">
        <v>0.86</v>
      </c>
      <c r="R4" s="93"/>
      <c r="S4" s="93">
        <v>0.82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90</v>
      </c>
      <c r="B7" s="75"/>
      <c r="C7" s="75"/>
      <c r="D7" s="75"/>
      <c r="E7" s="75"/>
      <c r="F7" s="75"/>
      <c r="G7" s="75"/>
      <c r="H7" s="75"/>
      <c r="I7" s="75"/>
      <c r="J7" s="84"/>
      <c r="K7" s="84"/>
      <c r="L7" s="84"/>
      <c r="M7" s="84"/>
      <c r="N7" s="88"/>
      <c r="O7" s="84"/>
      <c r="P7" s="84"/>
      <c r="Q7" s="84"/>
      <c r="R7" s="84"/>
      <c r="S7" s="88"/>
      <c r="T7" s="16"/>
    </row>
    <row r="8" spans="1:20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51" customHeight="1" x14ac:dyDescent="0.25">
      <c r="A10" s="95" t="s">
        <v>96</v>
      </c>
      <c r="B10" s="97" t="s">
        <v>346</v>
      </c>
      <c r="C10" s="253"/>
      <c r="D10" s="76"/>
      <c r="E10" s="76"/>
      <c r="F10" s="74"/>
      <c r="G10" s="74"/>
      <c r="H10" s="74"/>
      <c r="I10" s="74"/>
      <c r="J10" s="75" t="s">
        <v>134</v>
      </c>
      <c r="K10" s="12">
        <v>294.7</v>
      </c>
      <c r="L10" s="12">
        <v>387.1</v>
      </c>
      <c r="M10" s="12">
        <v>767.5</v>
      </c>
      <c r="N10" s="71">
        <v>1585.9</v>
      </c>
      <c r="O10" s="12">
        <v>1948.8</v>
      </c>
      <c r="P10" s="16"/>
      <c r="Q10" s="16"/>
      <c r="R10" s="16"/>
    </row>
    <row r="11" spans="1:20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60" x14ac:dyDescent="0.25">
      <c r="A13" s="95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</sheetPr>
  <dimension ref="A2:GU49"/>
  <sheetViews>
    <sheetView zoomScale="70" zoomScaleNormal="70" zoomScaleSheetLayoutView="40" workbookViewId="0">
      <pane xSplit="1" topLeftCell="AD1" activePane="topRight" state="frozen"/>
      <selection pane="topRight" activeCell="AY17" sqref="AY17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7" width="10.710937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170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t="s">
        <v>171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 t="s">
        <v>174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1.73</v>
      </c>
      <c r="C7" s="29">
        <f>B7/AVERAGE($M7,$N7)</f>
        <v>4.5785364562657145E-2</v>
      </c>
      <c r="D7" s="12">
        <v>2.73</v>
      </c>
      <c r="E7" s="29">
        <f>D7/AVERAGE($M7,$N7)</f>
        <v>7.2250893211591907E-2</v>
      </c>
      <c r="F7" s="12">
        <v>1.44</v>
      </c>
      <c r="G7" s="29">
        <f>F7/AVERAGE($M7,$N7)</f>
        <v>3.8110361254466062E-2</v>
      </c>
      <c r="H7" s="33"/>
      <c r="I7" s="12">
        <f>AVERAGE(B7,D7,F7)</f>
        <v>1.9666666666666668</v>
      </c>
      <c r="J7" s="29">
        <f>STDEV(B7,D7,F7)/I7</f>
        <v>0.34412623700067346</v>
      </c>
      <c r="K7" s="19"/>
      <c r="L7" s="131">
        <v>37.950000000000003</v>
      </c>
      <c r="M7" s="12">
        <v>37.92</v>
      </c>
      <c r="N7" s="12">
        <v>37.65</v>
      </c>
      <c r="O7" s="12">
        <v>37.299999999999997</v>
      </c>
      <c r="P7" s="12">
        <v>37.92</v>
      </c>
      <c r="Q7" s="12">
        <v>38.950000000000003</v>
      </c>
      <c r="R7" s="53">
        <f>AVERAGE($L7,$O7)</f>
        <v>37.625</v>
      </c>
      <c r="S7" s="54">
        <f>ABS(L7-O7)/AVERAGE(O7,L7)</f>
        <v>1.7275747508305798E-2</v>
      </c>
      <c r="T7" s="38"/>
      <c r="U7" s="38"/>
      <c r="V7" s="16"/>
      <c r="W7" s="12">
        <v>1.57</v>
      </c>
      <c r="X7" s="29">
        <f>W7/AVERAGE($M7,$N7)</f>
        <v>4.155087997882758E-2</v>
      </c>
      <c r="Y7" s="12">
        <v>1.44</v>
      </c>
      <c r="Z7" s="29">
        <f>Y7/AVERAGE($M7,$N7)</f>
        <v>3.8110361254466062E-2</v>
      </c>
      <c r="AA7" s="12">
        <v>1.43</v>
      </c>
      <c r="AB7" s="29">
        <f>AA7/AVERAGE($M7,$N7)</f>
        <v>3.7845705967976713E-2</v>
      </c>
      <c r="AC7" s="12">
        <v>1.21</v>
      </c>
      <c r="AD7" s="29">
        <f>AC7/AVERAGE($M7,$N7)</f>
        <v>3.2023289665211063E-2</v>
      </c>
      <c r="AE7" s="12">
        <v>1.32</v>
      </c>
      <c r="AF7" s="29">
        <f>AE7/AVERAGE($M7,$N7)</f>
        <v>3.4934497816593892E-2</v>
      </c>
      <c r="AG7" s="16"/>
      <c r="AH7" s="38"/>
      <c r="AI7" s="20"/>
      <c r="AJ7" s="12">
        <v>0.96</v>
      </c>
      <c r="AK7" s="29">
        <f>AJ7*10/AVERAGE($L7,$M7)</f>
        <v>0.25306445235270858</v>
      </c>
      <c r="AL7" s="12">
        <v>0.94</v>
      </c>
      <c r="AM7" s="29">
        <f>AL7*10/AVERAGE($L7,$M7)</f>
        <v>0.2477922762620271</v>
      </c>
      <c r="AN7" s="132">
        <v>0.93</v>
      </c>
      <c r="AO7" s="29">
        <f>AN7*10/AVERAGE($L7,$M7)</f>
        <v>0.24515618821668644</v>
      </c>
      <c r="AP7" s="132">
        <v>0.92</v>
      </c>
      <c r="AQ7" s="29">
        <f>AP7*10/AVERAGE($L7,$M7)</f>
        <v>0.24252010017134573</v>
      </c>
      <c r="AR7" s="132">
        <v>0.89</v>
      </c>
      <c r="AS7" s="29">
        <f>AR7*20/AVERAGE($L7,$M7)</f>
        <v>0.46922367207064714</v>
      </c>
      <c r="AT7" s="43"/>
      <c r="AU7" s="12">
        <v>1.36</v>
      </c>
      <c r="AV7" s="29">
        <f>AU7/AVERAGE($L7,$M7)</f>
        <v>3.5850797416633717E-2</v>
      </c>
      <c r="AW7" s="12">
        <v>1.38</v>
      </c>
      <c r="AX7" s="29">
        <f>AW7/AVERAGE($L7,$M7)</f>
        <v>3.637801502570185E-2</v>
      </c>
      <c r="AY7" s="12">
        <v>1.36</v>
      </c>
      <c r="AZ7" s="29">
        <f>AY7/AVERAGE($L7,$M7)</f>
        <v>3.5850797416633717E-2</v>
      </c>
      <c r="BA7" s="12">
        <v>1.55</v>
      </c>
      <c r="BB7" s="29">
        <f>BA7/AVERAGE($L7,$M7)</f>
        <v>4.0859364702781072E-2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36.07</v>
      </c>
      <c r="C8" s="30">
        <f>B8/AVERAGE($M8,$N8)</f>
        <v>0.9299987108418204</v>
      </c>
      <c r="D8" s="12">
        <v>35.86</v>
      </c>
      <c r="E8" s="30">
        <f>D8/AVERAGE($M8,$N8)</f>
        <v>0.92458424648704407</v>
      </c>
      <c r="F8" s="12">
        <v>32.72</v>
      </c>
      <c r="G8" s="30">
        <f>F8/AVERAGE($M8,$N8)</f>
        <v>0.84362511280134078</v>
      </c>
      <c r="H8" s="34"/>
      <c r="I8" s="12">
        <f>AVERAGE(B8,D8,F8)</f>
        <v>34.883333333333333</v>
      </c>
      <c r="J8" s="30">
        <f>STDEV(B8,D8,F8)/I8</f>
        <v>5.3791925503501342E-2</v>
      </c>
      <c r="K8" s="19"/>
      <c r="L8" s="131">
        <v>38.979999999999997</v>
      </c>
      <c r="M8" s="12">
        <v>38.909999999999997</v>
      </c>
      <c r="N8" s="12">
        <v>38.659999999999997</v>
      </c>
      <c r="O8" s="12">
        <v>38.89</v>
      </c>
      <c r="P8" s="12">
        <v>38.58</v>
      </c>
      <c r="Q8" s="12">
        <v>37.549999999999997</v>
      </c>
      <c r="R8" s="53">
        <f>AVERAGE($L8,$O8)</f>
        <v>38.935000000000002</v>
      </c>
      <c r="S8" s="54">
        <f>ABS(L8-O8)/AVERAGE(O8,L8)</f>
        <v>2.3115448824963733E-3</v>
      </c>
      <c r="T8" s="38"/>
      <c r="U8" s="38"/>
      <c r="V8" s="16"/>
      <c r="W8" s="12">
        <v>21.28</v>
      </c>
      <c r="X8" s="98">
        <f>W8/AVERAGE($M8,$N8)</f>
        <v>0.5486657212840016</v>
      </c>
      <c r="Y8" s="12">
        <v>21.1</v>
      </c>
      <c r="Z8" s="98">
        <f>Y8/AVERAGE($M8,$N8)</f>
        <v>0.54402475183705046</v>
      </c>
      <c r="AA8" s="12">
        <v>20.76</v>
      </c>
      <c r="AB8" s="98">
        <f>AA8/AVERAGE($M8,$N8)</f>
        <v>0.53525847621503164</v>
      </c>
      <c r="AC8" s="12">
        <v>15.92</v>
      </c>
      <c r="AD8" s="98">
        <f>AC8/AVERAGE($M8,$N8)</f>
        <v>0.41046796441923428</v>
      </c>
      <c r="AE8" s="12">
        <v>18.97</v>
      </c>
      <c r="AF8" s="98">
        <f>AE8/AVERAGE($M8,$N8)</f>
        <v>0.48910661338146194</v>
      </c>
      <c r="AG8" s="16"/>
      <c r="AH8" s="23"/>
      <c r="AI8" s="20"/>
      <c r="AJ8" s="12">
        <v>3.54</v>
      </c>
      <c r="AK8" s="30">
        <f>AJ8*10/AVERAGE($L8,$M8)</f>
        <v>0.90897419437668514</v>
      </c>
      <c r="AL8" s="12">
        <v>3.26</v>
      </c>
      <c r="AM8" s="30">
        <f>AL8*10/AVERAGE($L8,$M8)</f>
        <v>0.83707793041468737</v>
      </c>
      <c r="AN8" s="133">
        <v>3.19</v>
      </c>
      <c r="AO8" s="30">
        <f>AN8*10/AVERAGE($L8,$M8)</f>
        <v>0.81910386442418803</v>
      </c>
      <c r="AP8" s="133">
        <v>2.79</v>
      </c>
      <c r="AQ8" s="30">
        <f>AP8*10/AVERAGE($L8,$M8)</f>
        <v>0.71639491590704851</v>
      </c>
      <c r="AR8" s="133">
        <v>1.42</v>
      </c>
      <c r="AS8" s="30">
        <f>AR8*20/AVERAGE($L8,$M8)</f>
        <v>0.72923353447169093</v>
      </c>
      <c r="AT8" s="43"/>
      <c r="AU8" s="12">
        <v>30.26</v>
      </c>
      <c r="AV8" s="30">
        <f>AU8/AVERAGE($L8,$M8)</f>
        <v>0.77699319553216095</v>
      </c>
      <c r="AW8" s="12">
        <v>30.65</v>
      </c>
      <c r="AX8" s="30">
        <f>AW8/AVERAGE($L8,$M8)</f>
        <v>0.78700731801258195</v>
      </c>
      <c r="AY8" s="12">
        <v>30.04</v>
      </c>
      <c r="AZ8" s="30">
        <f>AY8/AVERAGE($L8,$M8)</f>
        <v>0.77134420336371823</v>
      </c>
      <c r="BA8" s="12">
        <v>31.54</v>
      </c>
      <c r="BB8" s="30">
        <f>BA8/AVERAGE($O8,$P8)</f>
        <v>0.81425067768168324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10.24</v>
      </c>
      <c r="C9" s="30">
        <f>B9/AVERAGE($M9,$N9)</f>
        <v>0.81528662420382181</v>
      </c>
      <c r="D9" s="12">
        <v>11.85</v>
      </c>
      <c r="E9" s="30">
        <f>D9/AVERAGE($M9,$N9)</f>
        <v>0.94347133757961787</v>
      </c>
      <c r="F9" s="12">
        <v>8.9499999999999993</v>
      </c>
      <c r="G9" s="30">
        <f>F9/AVERAGE($M9,$N9)</f>
        <v>0.71257961783439494</v>
      </c>
      <c r="H9" s="34"/>
      <c r="I9" s="12">
        <f>AVERAGE(B9,D9,F9)</f>
        <v>10.346666666666666</v>
      </c>
      <c r="J9" s="30">
        <f>STDEV(B9,D9,F9)/I9</f>
        <v>0.14042585848241823</v>
      </c>
      <c r="K9" s="16"/>
      <c r="L9" s="131">
        <v>12.07</v>
      </c>
      <c r="M9" s="12">
        <v>13.19</v>
      </c>
      <c r="N9" s="12">
        <v>11.93</v>
      </c>
      <c r="O9" s="12">
        <v>11.74</v>
      </c>
      <c r="P9" s="12">
        <v>12.88</v>
      </c>
      <c r="Q9" s="12">
        <v>11.44</v>
      </c>
      <c r="R9" s="53">
        <f>AVERAGE($L9,$O9)</f>
        <v>11.905000000000001</v>
      </c>
      <c r="S9" s="54">
        <f>ABS(L9-O9)/AVERAGE(O9,L9)</f>
        <v>2.771944561108778E-2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4.21</v>
      </c>
      <c r="AK9" s="12">
        <f>AJ9/0.5*10</f>
        <v>84.2</v>
      </c>
      <c r="AL9" s="12">
        <v>7.82</v>
      </c>
      <c r="AM9" s="12">
        <f>AL9/0.5*10</f>
        <v>156.4</v>
      </c>
      <c r="AN9" s="12">
        <v>15.31</v>
      </c>
      <c r="AO9" s="12">
        <f>AN9/0.5*10</f>
        <v>306.2</v>
      </c>
      <c r="AP9" s="12">
        <v>29.65</v>
      </c>
      <c r="AQ9" s="12">
        <f>AP9/0.5*10</f>
        <v>593</v>
      </c>
      <c r="AR9" s="12">
        <v>21.16</v>
      </c>
      <c r="AS9" s="12">
        <f>AR9/0.5*20</f>
        <v>846.4</v>
      </c>
      <c r="AT9" s="45"/>
      <c r="AU9" s="12" t="s">
        <v>159</v>
      </c>
      <c r="AV9" s="12"/>
      <c r="AW9" s="12" t="s">
        <v>159</v>
      </c>
      <c r="AX9" s="12"/>
      <c r="AY9" s="12" t="s">
        <v>159</v>
      </c>
      <c r="AZ9" s="12"/>
      <c r="BA9" s="12" t="s">
        <v>158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19.96</v>
      </c>
      <c r="C10" s="30">
        <f>B10/AVERAGE($M10,$N10)</f>
        <v>0.70592396109637501</v>
      </c>
      <c r="D10" s="12">
        <v>26.86</v>
      </c>
      <c r="E10" s="30">
        <f>D10/AVERAGE($M10,$N10)</f>
        <v>0.94995579133510166</v>
      </c>
      <c r="F10" s="12">
        <v>20.47</v>
      </c>
      <c r="G10" s="30">
        <f>F10/AVERAGE($M10,$N10)</f>
        <v>0.72396109637488948</v>
      </c>
      <c r="H10" s="34"/>
      <c r="I10" s="12">
        <f>AVERAGE(B10,D10,F10)</f>
        <v>22.429999999999996</v>
      </c>
      <c r="J10" s="30">
        <f>STDEV(B10,D10,F10)/I10</f>
        <v>0.17142031819388992</v>
      </c>
      <c r="K10" s="16"/>
      <c r="L10" s="131">
        <v>27.71</v>
      </c>
      <c r="M10" s="12">
        <v>29.67</v>
      </c>
      <c r="N10" s="12">
        <v>26.88</v>
      </c>
      <c r="O10" s="12">
        <v>25.9</v>
      </c>
      <c r="P10" s="12">
        <v>29.1</v>
      </c>
      <c r="Q10" s="12">
        <v>27.12</v>
      </c>
      <c r="R10" s="53">
        <f>AVERAGE($L10,$O10)</f>
        <v>26.805</v>
      </c>
      <c r="S10" s="54">
        <f>ABS(L10-O10)/AVERAGE(O10,L10)</f>
        <v>6.7524715538145957E-2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5.74</v>
      </c>
      <c r="AK10" s="12">
        <f>AJ10/0.5*10</f>
        <v>114.80000000000001</v>
      </c>
      <c r="AL10" s="12">
        <v>14.53</v>
      </c>
      <c r="AM10" s="12">
        <f>AL10/0.5*10</f>
        <v>290.59999999999997</v>
      </c>
      <c r="AN10" s="12">
        <v>29.36</v>
      </c>
      <c r="AO10" s="12">
        <f>AN10/0.5*10</f>
        <v>587.20000000000005</v>
      </c>
      <c r="AP10" s="12">
        <v>63.94</v>
      </c>
      <c r="AQ10" s="12">
        <f>AP10/0.5*10</f>
        <v>1278.8</v>
      </c>
      <c r="AR10" s="12">
        <v>44.25</v>
      </c>
      <c r="AS10" s="12">
        <f>AR10/0.5*20</f>
        <v>1770</v>
      </c>
      <c r="AT10" s="45"/>
      <c r="AU10" s="12" t="s">
        <v>159</v>
      </c>
      <c r="AV10" s="12"/>
      <c r="AW10" s="12" t="s">
        <v>159</v>
      </c>
      <c r="AX10" s="12"/>
      <c r="AY10" s="12" t="s">
        <v>159</v>
      </c>
      <c r="AZ10" s="12"/>
      <c r="BA10" s="12" t="s">
        <v>158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30.200000000000003</v>
      </c>
      <c r="C11" s="30">
        <f>B11/AVERAGE($M11,$N11)</f>
        <v>0.73956165054487577</v>
      </c>
      <c r="D11" s="52">
        <f>SUM(D$10+D$9)</f>
        <v>38.71</v>
      </c>
      <c r="E11" s="30">
        <f>D11/AVERAGE($M11,$N11)</f>
        <v>0.94796130770172649</v>
      </c>
      <c r="F11" s="52">
        <f>SUM(F$10+F$9)</f>
        <v>29.419999999999998</v>
      </c>
      <c r="G11" s="30">
        <f>F11/AVERAGE($M11,$N11)</f>
        <v>0.7204603893718623</v>
      </c>
      <c r="H11" s="34"/>
      <c r="I11" s="12">
        <f>AVERAGE(B11,D11)</f>
        <v>34.454999999999998</v>
      </c>
      <c r="J11" s="30">
        <f>STDEV(B11,D11,F11)/I11</f>
        <v>0.14956309444354374</v>
      </c>
      <c r="K11" s="19"/>
      <c r="L11" s="131">
        <f t="shared" ref="L11:Q11" si="0">SUM(L9,L10)</f>
        <v>39.78</v>
      </c>
      <c r="M11" s="52">
        <f t="shared" si="0"/>
        <v>42.86</v>
      </c>
      <c r="N11" s="52">
        <f t="shared" si="0"/>
        <v>38.81</v>
      </c>
      <c r="O11" s="12">
        <f t="shared" si="0"/>
        <v>37.64</v>
      </c>
      <c r="P11" s="52">
        <f t="shared" si="0"/>
        <v>41.980000000000004</v>
      </c>
      <c r="Q11" s="52">
        <f t="shared" si="0"/>
        <v>38.56</v>
      </c>
      <c r="R11" s="53">
        <f>AVERAGE($L11,$O11)</f>
        <v>38.71</v>
      </c>
      <c r="S11" s="54">
        <f>ABS(L11-O11)/AVERAGE(O11,L11)</f>
        <v>5.5282872642727993E-2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3">
        <f>SUM(AJ9,AJ10)</f>
        <v>9.9499999999999993</v>
      </c>
      <c r="AK11" s="12">
        <f>AJ11/0.5*10</f>
        <v>199</v>
      </c>
      <c r="AL11" s="13">
        <f>SUM(AL9,AL10)</f>
        <v>22.35</v>
      </c>
      <c r="AM11" s="12">
        <f>AL11/0.5*10</f>
        <v>447</v>
      </c>
      <c r="AN11" s="13">
        <f>SUM(AN9,AN10)</f>
        <v>44.67</v>
      </c>
      <c r="AO11" s="12">
        <f>AN11/0.5*10</f>
        <v>893.40000000000009</v>
      </c>
      <c r="AP11" s="13">
        <f>SUM(AP9,AP10)</f>
        <v>93.59</v>
      </c>
      <c r="AQ11" s="12">
        <f>AP11/0.5*10</f>
        <v>1871.8000000000002</v>
      </c>
      <c r="AR11" s="13">
        <f>SUM(AR9,AR10)</f>
        <v>65.41</v>
      </c>
      <c r="AS11" s="12">
        <f>AR11/0.5*20</f>
        <v>2616.3999999999996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55">
        <f t="shared" ref="L12:R12" si="1">(L7+L8+L11)/3</f>
        <v>38.903333333333336</v>
      </c>
      <c r="M12" s="55">
        <f>(M7+M8+M11)/3</f>
        <v>39.896666666666668</v>
      </c>
      <c r="N12" s="55">
        <f t="shared" si="1"/>
        <v>38.373333333333335</v>
      </c>
      <c r="O12" s="55">
        <f>(O7+O8+O11)/3</f>
        <v>37.943333333333335</v>
      </c>
      <c r="P12" s="55">
        <f t="shared" si="1"/>
        <v>39.493333333333332</v>
      </c>
      <c r="Q12" s="55">
        <f t="shared" si="1"/>
        <v>38.353333333333332</v>
      </c>
      <c r="R12" s="55">
        <f t="shared" si="1"/>
        <v>38.423333333333339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31"/>
      <c r="AK12" s="99">
        <f>AK11/AJ13</f>
        <v>0.39800000000000002</v>
      </c>
      <c r="AL12" s="31"/>
      <c r="AM12" s="99">
        <f>AM11/AL13</f>
        <v>0.44700000000000001</v>
      </c>
      <c r="AN12" s="31"/>
      <c r="AO12" s="99">
        <f>AO11/AN13</f>
        <v>0.44670000000000004</v>
      </c>
      <c r="AP12" s="31"/>
      <c r="AQ12" s="69">
        <f>AQ11/AP13</f>
        <v>0.62393333333333334</v>
      </c>
      <c r="AR12" s="31"/>
      <c r="AS12" s="69">
        <f>AS11/AR13</f>
        <v>0.6540999999999999</v>
      </c>
      <c r="AT12" s="2">
        <f>AVERAGE(AK12,AM12,AO12,AQ12,AS12)</f>
        <v>0.51394666666666677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30">
        <f>ABS(B11-B13)/B13</f>
        <v>0.24499999999999994</v>
      </c>
      <c r="C14" s="33"/>
      <c r="D14" s="30">
        <f>ABS(D11-D13)/D13</f>
        <v>3.224999999999998E-2</v>
      </c>
      <c r="E14" s="34"/>
      <c r="F14" s="98">
        <f>ABS(F11-F13)/F13</f>
        <v>0.26450000000000007</v>
      </c>
      <c r="G14" s="34"/>
      <c r="H14" s="34"/>
      <c r="I14" s="34"/>
      <c r="J14" s="34"/>
      <c r="K14" s="38"/>
      <c r="L14" s="30">
        <f t="shared" ref="L14:R14" si="2">(L12-L13)/L13</f>
        <v>-2.74166666666666E-2</v>
      </c>
      <c r="M14" s="30">
        <f t="shared" si="2"/>
        <v>-2.583333333333293E-3</v>
      </c>
      <c r="N14" s="30">
        <f t="shared" si="2"/>
        <v>-4.0666666666666629E-2</v>
      </c>
      <c r="O14" s="30">
        <f t="shared" si="2"/>
        <v>-5.1416666666666624E-2</v>
      </c>
      <c r="P14" s="30">
        <f t="shared" si="2"/>
        <v>-1.2666666666666692E-2</v>
      </c>
      <c r="Q14" s="30">
        <f t="shared" si="2"/>
        <v>-4.1166666666666706E-2</v>
      </c>
      <c r="R14" s="30">
        <f t="shared" si="2"/>
        <v>-3.9416666666666524E-2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100">
        <f>ABS(AK11-AJ13)/AJ13</f>
        <v>0.60199999999999998</v>
      </c>
      <c r="AK14" s="61"/>
      <c r="AL14" s="100">
        <f>ABS(AM11-AL13)/AL13</f>
        <v>0.55300000000000005</v>
      </c>
      <c r="AM14" s="62"/>
      <c r="AN14" s="100">
        <f>ABS(AO11-AN13)/AN13</f>
        <v>0.5532999999999999</v>
      </c>
      <c r="AO14" s="62"/>
      <c r="AP14" s="100">
        <f>ABS(AQ11-AP13)/AP13</f>
        <v>0.3760666666666666</v>
      </c>
      <c r="AQ14" s="62"/>
      <c r="AR14" s="100">
        <f>ABS(AS11-AR13)/AR13</f>
        <v>0.3459000000000001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98">
        <f>AVERAGE(X8,X19)</f>
        <v>0.56830369999573782</v>
      </c>
      <c r="X15" s="71"/>
      <c r="Y15" s="98">
        <f>AVERAGE(Z8,Z19)</f>
        <v>0.56874165478362437</v>
      </c>
      <c r="Z15" s="71"/>
      <c r="AA15" s="98">
        <f>AVERAGE(AB8,AB19)</f>
        <v>0.54058339546992229</v>
      </c>
      <c r="AB15" s="71"/>
      <c r="AC15" s="98" t="e">
        <f>AVERAGE(AD8,AD19)</f>
        <v>#VALUE!</v>
      </c>
      <c r="AD15" s="71"/>
      <c r="AE15" s="98">
        <f>AVERAGE(AF8,AF19)</f>
        <v>0.54535456769165047</v>
      </c>
      <c r="AF15" s="16"/>
      <c r="AG15" s="16"/>
      <c r="AH15" s="16"/>
      <c r="AI15" s="68" t="s">
        <v>129</v>
      </c>
      <c r="AJ15" s="103">
        <f>AVERAGE(AK11,AK22)</f>
        <v>294.7</v>
      </c>
      <c r="AK15" s="71"/>
      <c r="AL15" s="103">
        <f>AVERAGE(AM11,AM22)</f>
        <v>387.1</v>
      </c>
      <c r="AM15" s="71"/>
      <c r="AN15" s="103">
        <f>AVERAGE(AO22,AO11)</f>
        <v>767.5</v>
      </c>
      <c r="AO15" s="71"/>
      <c r="AP15" s="103">
        <f>AVERAGE(AQ11,AQ22)</f>
        <v>1595.9</v>
      </c>
      <c r="AQ15" s="71"/>
      <c r="AR15" s="103">
        <f>AVERAGE(AS11,AS22)</f>
        <v>1948.7999999999997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10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 t="s">
        <v>176</v>
      </c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>
        <v>1.85</v>
      </c>
      <c r="C18" s="29">
        <f>B18/AVERAGE($Q7,$P7)</f>
        <v>4.8133211916222191E-2</v>
      </c>
      <c r="D18" s="12">
        <v>1.61</v>
      </c>
      <c r="E18" s="29">
        <f>D18/AVERAGE($Q7,$P7)</f>
        <v>4.1888903343306881E-2</v>
      </c>
      <c r="F18" s="12">
        <v>1.67</v>
      </c>
      <c r="G18" s="29">
        <f>F18/AVERAGE($Q7,$P7)</f>
        <v>4.3449980486535707E-2</v>
      </c>
      <c r="H18" s="33"/>
      <c r="I18" s="12">
        <f>AVERAGE(D18,F18)</f>
        <v>1.6400000000000001</v>
      </c>
      <c r="J18" s="30">
        <f>STDEV(D18,F18)/I18</f>
        <v>2.5869760287312641E-2</v>
      </c>
      <c r="K18" s="1"/>
      <c r="L18" s="58"/>
      <c r="M18" s="58"/>
      <c r="N18" s="58"/>
      <c r="O18" s="58"/>
      <c r="P18" s="58"/>
      <c r="Q18" s="1"/>
      <c r="S18" s="38"/>
      <c r="T18" s="38"/>
      <c r="U18" s="38"/>
      <c r="V18" s="16"/>
      <c r="W18" s="12">
        <v>1.43</v>
      </c>
      <c r="X18" s="29">
        <f>W18/AVERAGE($Q7,$P7)</f>
        <v>3.7205671913620397E-2</v>
      </c>
      <c r="Y18" s="12">
        <v>1.71</v>
      </c>
      <c r="Z18" s="29">
        <f>Y18/AVERAGE($Q7,$P7)</f>
        <v>4.4490698582021593E-2</v>
      </c>
      <c r="AA18" s="12">
        <v>1.31</v>
      </c>
      <c r="AB18" s="29">
        <f>AA18/AVERAGE($Q7,$P7)</f>
        <v>3.4083517627162739E-2</v>
      </c>
      <c r="AC18" s="12">
        <v>1.01</v>
      </c>
      <c r="AD18" s="29">
        <f>AC18/AVERAGE($Q7,$P7)</f>
        <v>2.6278131911018601E-2</v>
      </c>
      <c r="AE18" s="12">
        <v>1.48</v>
      </c>
      <c r="AF18" s="29">
        <f>AE18/AVERAGE($Q7,$P7)</f>
        <v>3.850656953297775E-2</v>
      </c>
      <c r="AG18" s="16"/>
      <c r="AH18" s="38"/>
      <c r="AI18" s="20"/>
      <c r="AJ18" s="12">
        <v>0.94</v>
      </c>
      <c r="AK18" s="29">
        <f>AJ18*10/AVERAGE($L$7,$M$7)</f>
        <v>0.2477922762620271</v>
      </c>
      <c r="AL18" s="12">
        <v>0.97</v>
      </c>
      <c r="AM18" s="29">
        <f>AL18*10/AVERAGE($L$7,$M$7)</f>
        <v>0.25570054039804924</v>
      </c>
      <c r="AN18" s="12">
        <v>0.92</v>
      </c>
      <c r="AO18" s="29">
        <f>AN18*10/AVERAGE($L$7,$M$7)</f>
        <v>0.24252010017134573</v>
      </c>
      <c r="AP18" s="12" t="s">
        <v>159</v>
      </c>
      <c r="AQ18" s="29" t="e">
        <f>AP18*10/AVERAGE($L$7,$M$7)</f>
        <v>#VALUE!</v>
      </c>
      <c r="AR18" s="12">
        <v>0.88</v>
      </c>
      <c r="AS18" s="29">
        <f>AR18*10/AVERAGE($L$7,$M$7)</f>
        <v>0.23197574798998288</v>
      </c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39.28</v>
      </c>
      <c r="C19" s="30">
        <f>B19/AVERAGE($Q8,$P8)</f>
        <v>1.0319190857743334</v>
      </c>
      <c r="D19" s="12">
        <v>31.6</v>
      </c>
      <c r="E19" s="30">
        <f>D19/AVERAGE($Q8,$P8)</f>
        <v>0.83015893865755952</v>
      </c>
      <c r="F19" s="12">
        <v>34.340000000000003</v>
      </c>
      <c r="G19" s="30">
        <f>F19/AVERAGE($Q8,$P8)</f>
        <v>0.90214107447786696</v>
      </c>
      <c r="H19" s="34"/>
      <c r="I19" s="12">
        <f>AVERAGE(D19,F19)</f>
        <v>32.97</v>
      </c>
      <c r="J19" s="30">
        <f>STDEV(D19,F19)/I19</f>
        <v>5.8764712782867511E-2</v>
      </c>
      <c r="K19" s="11"/>
      <c r="L19" s="58"/>
      <c r="M19" s="58"/>
      <c r="N19" s="58"/>
      <c r="O19" s="58"/>
      <c r="P19" s="58"/>
      <c r="S19" s="38"/>
      <c r="T19" s="38"/>
      <c r="U19" s="38"/>
      <c r="V19" s="16"/>
      <c r="W19" s="12">
        <v>22.38</v>
      </c>
      <c r="X19" s="98">
        <f>W19/AVERAGE($Q8,$P8)</f>
        <v>0.58794167870747405</v>
      </c>
      <c r="Y19" s="12">
        <v>22.59</v>
      </c>
      <c r="Z19" s="98">
        <f>Y19/AVERAGE($Q8,$P8)</f>
        <v>0.5934585577301984</v>
      </c>
      <c r="AA19" s="12">
        <v>20.78</v>
      </c>
      <c r="AB19" s="98">
        <f>AA19/AVERAGE($Q8,$P8)</f>
        <v>0.54590831472481294</v>
      </c>
      <c r="AC19" s="12" t="s">
        <v>159</v>
      </c>
      <c r="AD19" s="29" t="e">
        <f>AC19/AVERAGE($Q8,$P8)</f>
        <v>#VALUE!</v>
      </c>
      <c r="AE19" s="12">
        <v>22.9</v>
      </c>
      <c r="AF19" s="98">
        <f>AE19/AVERAGE($Q8,$P8)</f>
        <v>0.60160252200183895</v>
      </c>
      <c r="AG19" s="16"/>
      <c r="AH19" s="23"/>
      <c r="AI19" s="20" t="s">
        <v>172</v>
      </c>
      <c r="AJ19" s="12">
        <v>3.93</v>
      </c>
      <c r="AK19" s="30">
        <f>AJ19*10/AVERAGE($L$8,$M$8)</f>
        <v>1.0091154191808964</v>
      </c>
      <c r="AL19" s="12">
        <v>3.56</v>
      </c>
      <c r="AM19" s="30">
        <f>AL19*10/AVERAGE($L$8,$M$8)</f>
        <v>0.91410964180254228</v>
      </c>
      <c r="AN19" s="12">
        <v>3.34</v>
      </c>
      <c r="AO19" s="30">
        <f>AN19*10/AVERAGE($L$8,$M$8)</f>
        <v>0.85761972011811538</v>
      </c>
      <c r="AP19" s="12" t="s">
        <v>159</v>
      </c>
      <c r="AQ19" s="30" t="e">
        <f>AP19*10/AVERAGE($L$8,$M$8)</f>
        <v>#VALUE!</v>
      </c>
      <c r="AR19" s="12">
        <v>1.59</v>
      </c>
      <c r="AS19" s="30">
        <f>AR19*20/AVERAGE($L$8,$M$8)</f>
        <v>0.81653614071125968</v>
      </c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10.9</v>
      </c>
      <c r="C20" s="30">
        <f>B20/AVERAGE($Q9,$P9)</f>
        <v>0.89638157894736847</v>
      </c>
      <c r="D20" s="12">
        <v>11.11</v>
      </c>
      <c r="E20" s="30">
        <f>D20/AVERAGE($Q9,$P9)</f>
        <v>0.91365131578947367</v>
      </c>
      <c r="F20" s="12">
        <v>9.99</v>
      </c>
      <c r="G20" s="30">
        <f>F20/AVERAGE($Q9,$P9)</f>
        <v>0.82154605263157898</v>
      </c>
      <c r="H20" s="34"/>
      <c r="I20" s="12">
        <f>AVERAGE(D20,F20)</f>
        <v>10.55</v>
      </c>
      <c r="J20" s="30">
        <f>STDEV(D20,F20)/I20</f>
        <v>7.5067260182837214E-2</v>
      </c>
      <c r="L20" s="58"/>
      <c r="M20" s="58"/>
      <c r="N20" s="58"/>
      <c r="O20" s="58"/>
      <c r="P20" s="58"/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9.23</v>
      </c>
      <c r="AK20" s="12">
        <f>AJ20/0.5*10</f>
        <v>184.60000000000002</v>
      </c>
      <c r="AL20" s="12">
        <v>8.82</v>
      </c>
      <c r="AM20" s="12">
        <f>AL20/0.5*10</f>
        <v>176.4</v>
      </c>
      <c r="AN20" s="12">
        <v>18.079999999999998</v>
      </c>
      <c r="AO20" s="12">
        <f>AN20/0.5*10</f>
        <v>361.59999999999997</v>
      </c>
      <c r="AP20" s="12">
        <v>12.38</v>
      </c>
      <c r="AQ20" s="12">
        <f>AP20/0.5*10</f>
        <v>247.60000000000002</v>
      </c>
      <c r="AR20" s="12">
        <v>13.75</v>
      </c>
      <c r="AS20" s="12">
        <f>AR20/0.5*20</f>
        <v>550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25.18</v>
      </c>
      <c r="C21" s="30">
        <f>B21/AVERAGE($Q10,$P10)</f>
        <v>0.89576663109213805</v>
      </c>
      <c r="D21" s="12">
        <v>22.82</v>
      </c>
      <c r="E21" s="30">
        <f>D21/AVERAGE($Q10,$P10)</f>
        <v>0.81181074350764859</v>
      </c>
      <c r="F21" s="12">
        <v>21.16</v>
      </c>
      <c r="G21" s="30">
        <f>F21/AVERAGE($Q10,$P10)</f>
        <v>0.75275702596940597</v>
      </c>
      <c r="H21" s="34"/>
      <c r="I21" s="12">
        <f>AVERAGE(D21,F21)</f>
        <v>21.990000000000002</v>
      </c>
      <c r="J21" s="30">
        <f>STDEV(D21,F21)/I21</f>
        <v>5.3378683800348735E-2</v>
      </c>
      <c r="L21" s="58"/>
      <c r="M21" s="58"/>
      <c r="N21" s="58"/>
      <c r="O21" s="58"/>
      <c r="P21" s="58"/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10.29</v>
      </c>
      <c r="AK21" s="12">
        <f>AJ21/0.5*10</f>
        <v>205.79999999999998</v>
      </c>
      <c r="AL21" s="12">
        <v>7.54</v>
      </c>
      <c r="AM21" s="12">
        <f>AL21/0.5*10</f>
        <v>150.80000000000001</v>
      </c>
      <c r="AN21" s="12">
        <v>14</v>
      </c>
      <c r="AO21" s="12">
        <f>AN21/0.5*10</f>
        <v>280</v>
      </c>
      <c r="AP21" s="12">
        <v>14.71</v>
      </c>
      <c r="AQ21" s="12">
        <f>AP21/0.5*10</f>
        <v>294.20000000000005</v>
      </c>
      <c r="AR21" s="12">
        <v>18.28</v>
      </c>
      <c r="AS21" s="12">
        <f>AR21/0.5*20</f>
        <v>731.2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13">
        <f>B20+B21</f>
        <v>36.08</v>
      </c>
      <c r="C22" s="30">
        <f>B22/AVERAGE($Q11,$P11)</f>
        <v>0.89595232182766316</v>
      </c>
      <c r="D22" s="52">
        <f>SUM(D$21+D$20)</f>
        <v>33.93</v>
      </c>
      <c r="E22" s="30">
        <f>D22/AVERAGE($Q11,$P11)</f>
        <v>0.842562701763099</v>
      </c>
      <c r="F22" s="13">
        <f>F20+F21</f>
        <v>31.15</v>
      </c>
      <c r="G22" s="30">
        <f>F22/AVERAGE($Q11,$P11)</f>
        <v>0.7735286814005462</v>
      </c>
      <c r="H22" s="34"/>
      <c r="I22" s="12">
        <f>AVERAGE(D22,F22)</f>
        <v>32.54</v>
      </c>
      <c r="J22" s="30">
        <f>STDEV(D22,F22)/I22</f>
        <v>6.0410474852446307E-2</v>
      </c>
      <c r="L22" s="58"/>
      <c r="M22" s="58"/>
      <c r="N22" s="58"/>
      <c r="O22" s="58"/>
      <c r="P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3">
        <f>SUM(AJ20,AJ21)</f>
        <v>19.52</v>
      </c>
      <c r="AK22">
        <f>AJ22/0.5*10</f>
        <v>390.4</v>
      </c>
      <c r="AL22" s="13">
        <f>SUM(AL20,AL21)</f>
        <v>16.36</v>
      </c>
      <c r="AM22" s="12">
        <f>AL22/0.5*10</f>
        <v>327.2</v>
      </c>
      <c r="AN22" s="13">
        <f>SUM(AN20,AN21)</f>
        <v>32.08</v>
      </c>
      <c r="AO22" s="12">
        <f>AN22/0.5*10</f>
        <v>641.59999999999991</v>
      </c>
      <c r="AP22" s="13">
        <f>SUM(AP20,AP21)</f>
        <v>27.090000000000003</v>
      </c>
      <c r="AQ22" s="104">
        <v>1320</v>
      </c>
      <c r="AR22" s="13">
        <f>SUM(AR20,AR21)</f>
        <v>32.03</v>
      </c>
      <c r="AS22" s="12">
        <f>AR22/0.5*20</f>
        <v>1281.2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69">
        <f>AK22/AJ24</f>
        <v>0.78079999999999994</v>
      </c>
      <c r="AL23" s="31"/>
      <c r="AM23" s="99">
        <f>AM22/AL24</f>
        <v>0.32719999999999999</v>
      </c>
      <c r="AN23" s="31"/>
      <c r="AO23" s="99">
        <f>AO22/AN24</f>
        <v>0.32079999999999997</v>
      </c>
      <c r="AP23" s="31"/>
      <c r="AQ23" s="99">
        <f>AQ22/AP24</f>
        <v>0.44</v>
      </c>
      <c r="AR23" s="31"/>
      <c r="AS23" s="99">
        <f>AS22/AR24</f>
        <v>0.32030000000000003</v>
      </c>
      <c r="AT23" s="2">
        <f>AVERAGE(AK23,AM23,AO23,AQ23,AS23)</f>
        <v>0.43781999999999999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 t="s">
        <v>169</v>
      </c>
      <c r="AL24" s="59">
        <v>1000</v>
      </c>
      <c r="AM24" s="59"/>
      <c r="AN24" s="59">
        <v>2000</v>
      </c>
      <c r="AO24" s="59"/>
      <c r="AP24" s="59">
        <v>3000</v>
      </c>
      <c r="AQ24" s="59" t="s">
        <v>173</v>
      </c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30">
        <f>ABS(B22-B24)/B24</f>
        <v>9.8000000000000045E-2</v>
      </c>
      <c r="C25" s="33"/>
      <c r="D25" s="30">
        <f>ABS(D22-D24)/D24</f>
        <v>0.15175</v>
      </c>
      <c r="E25" s="34"/>
      <c r="F25" s="30">
        <f>ABS(F22-F24)/F24</f>
        <v>0.22125000000000003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30">
        <f>ABS(AK22-AJ24)/AJ24</f>
        <v>0.21920000000000003</v>
      </c>
      <c r="AK25" s="23"/>
      <c r="AL25" s="29">
        <f>ABS(AM22-AL24)/AL24</f>
        <v>0.67279999999999995</v>
      </c>
      <c r="AM25" s="38"/>
      <c r="AN25" s="29">
        <f>ABS(AO22-AN24)/AN24</f>
        <v>0.67920000000000003</v>
      </c>
      <c r="AO25" s="38"/>
      <c r="AP25" s="29">
        <f>ABS(AQ22-AP24)/AP24</f>
        <v>0.56000000000000005</v>
      </c>
      <c r="AQ25" s="38"/>
      <c r="AR25" s="29">
        <f>ABS(AS22-AR24)/AR24</f>
        <v>0.67970000000000008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T26" s="35"/>
      <c r="AX26" s="35"/>
      <c r="AY26" s="35"/>
      <c r="AZ26" s="35"/>
      <c r="BA26" s="35"/>
      <c r="BB26" s="35"/>
      <c r="BC26" s="35"/>
    </row>
    <row r="27" spans="1:132" x14ac:dyDescent="0.25">
      <c r="W27" s="102">
        <v>43761</v>
      </c>
      <c r="AK27" s="134">
        <f>1-AK23</f>
        <v>0.21920000000000006</v>
      </c>
      <c r="AM27" s="134">
        <f>1-AM23</f>
        <v>0.67280000000000006</v>
      </c>
      <c r="AO27" s="134">
        <f>1-AO23</f>
        <v>0.67920000000000003</v>
      </c>
      <c r="AS27" s="134">
        <f>1-AS23</f>
        <v>0.67969999999999997</v>
      </c>
      <c r="AU27" s="134">
        <f>AVERAGE(AS27,AO27,AM27,AK27)</f>
        <v>0.56272499999999992</v>
      </c>
      <c r="AW27">
        <f>3000*0.56</f>
        <v>1680.0000000000002</v>
      </c>
      <c r="AY27">
        <f>3000-1680</f>
        <v>1320</v>
      </c>
    </row>
    <row r="28" spans="1:132" x14ac:dyDescent="0.25">
      <c r="A28" t="s">
        <v>26</v>
      </c>
      <c r="W28" t="s">
        <v>175</v>
      </c>
    </row>
    <row r="29" spans="1:132" x14ac:dyDescent="0.25">
      <c r="A29" t="s">
        <v>3</v>
      </c>
    </row>
    <row r="30" spans="1:132" x14ac:dyDescent="0.25">
      <c r="A30" t="str">
        <f>"-OR-"</f>
        <v>-OR-</v>
      </c>
    </row>
    <row r="31" spans="1:132" ht="45" x14ac:dyDescent="0.25">
      <c r="A31" t="s">
        <v>24</v>
      </c>
      <c r="W31" s="24" t="s">
        <v>142</v>
      </c>
      <c r="X31" s="25" t="s">
        <v>16</v>
      </c>
      <c r="Y31" s="26">
        <v>1000</v>
      </c>
      <c r="Z31" s="25" t="s">
        <v>16</v>
      </c>
      <c r="AA31" s="26" t="s">
        <v>144</v>
      </c>
      <c r="AB31" s="25" t="s">
        <v>16</v>
      </c>
      <c r="AC31" s="26" t="s">
        <v>146</v>
      </c>
      <c r="AD31" s="25" t="s">
        <v>16</v>
      </c>
      <c r="AE31" s="26" t="s">
        <v>147</v>
      </c>
      <c r="AF31" s="25" t="s">
        <v>16</v>
      </c>
    </row>
    <row r="32" spans="1:132" x14ac:dyDescent="0.25">
      <c r="A32" t="s">
        <v>25</v>
      </c>
      <c r="W32" s="12">
        <v>3.22</v>
      </c>
      <c r="X32" s="29">
        <f>W32/AVERAGE($M$7,$N$7)</f>
        <v>8.521900224956995E-2</v>
      </c>
      <c r="Y32" s="12">
        <v>3.08</v>
      </c>
      <c r="Z32" s="29">
        <f>Y32/AVERAGE($M$7,$N$7)</f>
        <v>8.1513828238719083E-2</v>
      </c>
      <c r="AA32" s="12">
        <v>3.05</v>
      </c>
      <c r="AB32" s="29">
        <f>AA32/AVERAGE($M$7,$N$7)</f>
        <v>8.0719862379251023E-2</v>
      </c>
      <c r="AC32" s="12">
        <v>2.91</v>
      </c>
      <c r="AD32" s="29">
        <f>AC32/AVERAGE($M$7,$N$7)</f>
        <v>7.7014688368400169E-2</v>
      </c>
      <c r="AE32" s="12">
        <v>2.93</v>
      </c>
      <c r="AF32" s="29">
        <f>AE32/AVERAGE($M$7,$N$7)</f>
        <v>7.7543998941378867E-2</v>
      </c>
    </row>
    <row r="33" spans="1:32" x14ac:dyDescent="0.25">
      <c r="W33" s="12">
        <v>27.81</v>
      </c>
      <c r="X33" s="30">
        <f>W33/AVERAGE($M$8,$N$8)</f>
        <v>0.71702977955395131</v>
      </c>
      <c r="Y33" s="12">
        <v>27.13</v>
      </c>
      <c r="Z33" s="30">
        <f>Y33/AVERAGE($M$8,$N$8)</f>
        <v>0.69949722830991368</v>
      </c>
      <c r="AA33" s="12">
        <v>27.1</v>
      </c>
      <c r="AB33" s="30">
        <f>AA33/AVERAGE($M$8,$N$8)</f>
        <v>0.69872373340208849</v>
      </c>
      <c r="AC33" s="12">
        <v>24.39</v>
      </c>
      <c r="AD33" s="29">
        <f>AC33/AVERAGE($M$8,$N$8)</f>
        <v>0.62885136006187969</v>
      </c>
      <c r="AE33" s="12">
        <v>22.86</v>
      </c>
      <c r="AF33" s="29">
        <f>AE33/AVERAGE($M$8,$N$8)</f>
        <v>0.58940311976279491</v>
      </c>
    </row>
    <row r="34" spans="1:32" x14ac:dyDescent="0.25">
      <c r="A34" t="s">
        <v>23</v>
      </c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x14ac:dyDescent="0.25">
      <c r="A35" t="s">
        <v>18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x14ac:dyDescent="0.25">
      <c r="W36" s="13"/>
      <c r="X36" s="12"/>
      <c r="Y36" s="13"/>
      <c r="Z36" s="12"/>
      <c r="AA36" s="13"/>
      <c r="AB36" s="12"/>
      <c r="AC36" s="13"/>
      <c r="AD36" s="12"/>
      <c r="AE36" s="13"/>
      <c r="AF36" s="12"/>
    </row>
    <row r="37" spans="1:32" x14ac:dyDescent="0.25">
      <c r="A37" t="s">
        <v>19</v>
      </c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pans="1:32" x14ac:dyDescent="0.25">
      <c r="A38" t="s">
        <v>3</v>
      </c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x14ac:dyDescent="0.25">
      <c r="W39" s="49"/>
      <c r="X39" s="23"/>
      <c r="Y39" s="49"/>
      <c r="Z39" s="38"/>
      <c r="AA39" s="49"/>
      <c r="AB39" s="38"/>
      <c r="AC39" s="38"/>
      <c r="AD39" s="38"/>
      <c r="AE39" s="38"/>
      <c r="AF39" s="38"/>
    </row>
    <row r="40" spans="1:32" x14ac:dyDescent="0.25">
      <c r="A40" t="s">
        <v>14</v>
      </c>
      <c r="W40" s="30">
        <f>AVERAGE(X33,X44)</f>
        <v>0.71074081642926046</v>
      </c>
      <c r="X40" s="71"/>
      <c r="Y40" s="30">
        <f>AVERAGE(Z33,Z44)</f>
        <v>0.73492217759876932</v>
      </c>
      <c r="Z40" s="71"/>
      <c r="AA40" s="30">
        <f>AVERAGE(AB33,AB44)</f>
        <v>0.71413927403581567</v>
      </c>
      <c r="AB40" s="71"/>
      <c r="AC40" s="98" t="e">
        <f>AVERAGE(AD33,AD44)</f>
        <v>#VALUE!</v>
      </c>
      <c r="AD40" s="71"/>
      <c r="AE40" s="98">
        <f>AVERAGE(AF33,AF44)</f>
        <v>0.67529906265971995</v>
      </c>
      <c r="AF40" s="16"/>
    </row>
    <row r="41" spans="1:32" x14ac:dyDescent="0.25">
      <c r="A41" t="s">
        <v>4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ht="45" x14ac:dyDescent="0.25">
      <c r="W42" s="24" t="s">
        <v>143</v>
      </c>
      <c r="X42" s="25" t="s">
        <v>16</v>
      </c>
      <c r="Y42" s="26" t="s">
        <v>61</v>
      </c>
      <c r="Z42" s="25" t="s">
        <v>16</v>
      </c>
      <c r="AA42" s="26" t="s">
        <v>145</v>
      </c>
      <c r="AB42" s="25" t="s">
        <v>16</v>
      </c>
      <c r="AC42" s="26" t="s">
        <v>62</v>
      </c>
      <c r="AD42" s="25" t="s">
        <v>16</v>
      </c>
      <c r="AE42" s="26" t="s">
        <v>63</v>
      </c>
      <c r="AF42" s="25" t="s">
        <v>16</v>
      </c>
    </row>
    <row r="43" spans="1:32" x14ac:dyDescent="0.25">
      <c r="A43" t="s">
        <v>27</v>
      </c>
      <c r="W43" s="12">
        <v>3</v>
      </c>
      <c r="X43" s="29">
        <f>W43/AVERAGE($Q7,$R7)</f>
        <v>7.8354554358472078E-2</v>
      </c>
      <c r="Y43" s="12">
        <v>3.37</v>
      </c>
      <c r="Z43" s="29">
        <f>Y43/AVERAGE($Q7,$R7)</f>
        <v>8.8018282729350306E-2</v>
      </c>
      <c r="AA43" s="12">
        <v>2.95</v>
      </c>
      <c r="AB43" s="29">
        <f>AA43/AVERAGE($Q7,$R7)</f>
        <v>7.7048645119164219E-2</v>
      </c>
      <c r="AC43" s="12">
        <v>2.66</v>
      </c>
      <c r="AD43" s="29">
        <f>AC43/AVERAGE($Q7,$R7)</f>
        <v>6.947437153117858E-2</v>
      </c>
      <c r="AE43" s="12">
        <v>3.15</v>
      </c>
      <c r="AF43" s="29">
        <f>AE43/AVERAGE($Q7,$R7)</f>
        <v>8.2272282076395684E-2</v>
      </c>
    </row>
    <row r="44" spans="1:32" x14ac:dyDescent="0.25">
      <c r="A44" t="s">
        <v>28</v>
      </c>
      <c r="W44" s="12">
        <v>26.94</v>
      </c>
      <c r="X44" s="30">
        <f>W44/AVERAGE($Q8,$R8)</f>
        <v>0.70445185330456961</v>
      </c>
      <c r="Y44" s="12">
        <v>29.46</v>
      </c>
      <c r="Z44" s="30">
        <f>Y44/AVERAGE($Q8,$R8)</f>
        <v>0.77034712688762508</v>
      </c>
      <c r="AA44" s="12">
        <v>27.9</v>
      </c>
      <c r="AB44" s="30">
        <f>AA44/AVERAGE($Q8,$R8)</f>
        <v>0.72955481466954297</v>
      </c>
      <c r="AC44" s="12" t="s">
        <v>159</v>
      </c>
      <c r="AD44" s="29" t="e">
        <f>AC44/AVERAGE($Q8,$R8)</f>
        <v>#VALUE!</v>
      </c>
      <c r="AE44" s="12">
        <v>29.11</v>
      </c>
      <c r="AF44" s="30">
        <f>AE44/AVERAGE($Q8,$R8)</f>
        <v>0.7611950055566451</v>
      </c>
    </row>
    <row r="45" spans="1:32" x14ac:dyDescent="0.25">
      <c r="A45" t="s">
        <v>29</v>
      </c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3"/>
      <c r="X47" s="12"/>
      <c r="Y47" s="13"/>
      <c r="Z47" s="12"/>
      <c r="AA47" s="12"/>
      <c r="AB47" s="12"/>
      <c r="AC47" s="12"/>
      <c r="AD47" s="12"/>
      <c r="AE47" s="12"/>
      <c r="AF47" s="12"/>
    </row>
    <row r="48" spans="1:32" x14ac:dyDescent="0.25"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23:32" x14ac:dyDescent="0.25"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</sheetData>
  <pageMargins left="0.7" right="0.7" top="0.75" bottom="0.75" header="0.3" footer="0.3"/>
  <pageSetup orientation="portrait" r:id="rId1"/>
  <ignoredErrors>
    <ignoredError sqref="D22 F22 C11:D11 E11:F11 AK11:AN11 AK22:AO22 AO11:AQ1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</sheetPr>
  <dimension ref="A1:T13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4" max="4" width="10.28515625" customWidth="1"/>
    <col min="10" max="10" width="12.5703125" customWidth="1"/>
    <col min="11" max="11" width="9.28515625" customWidth="1"/>
  </cols>
  <sheetData>
    <row r="1" spans="1:20" ht="47.25" customHeight="1" x14ac:dyDescent="0.25">
      <c r="A1" s="79" t="s">
        <v>92</v>
      </c>
      <c r="B1" s="82"/>
      <c r="C1" s="76"/>
      <c r="D1" s="76"/>
      <c r="E1" s="76"/>
      <c r="F1" s="76"/>
      <c r="G1" s="76"/>
      <c r="H1" s="76"/>
      <c r="I1" s="76"/>
      <c r="J1" s="80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77" t="s">
        <v>34</v>
      </c>
      <c r="C2" s="77" t="s">
        <v>35</v>
      </c>
      <c r="D2" s="77" t="s">
        <v>83</v>
      </c>
      <c r="E2" s="77" t="s">
        <v>42</v>
      </c>
      <c r="F2" s="77" t="s">
        <v>43</v>
      </c>
      <c r="G2" s="77" t="s">
        <v>44</v>
      </c>
      <c r="H2" s="77" t="s">
        <v>87</v>
      </c>
      <c r="I2" s="77" t="s">
        <v>41</v>
      </c>
      <c r="J2" s="78" t="s">
        <v>36</v>
      </c>
      <c r="K2" s="78" t="s">
        <v>37</v>
      </c>
      <c r="L2" s="78" t="s">
        <v>84</v>
      </c>
      <c r="M2" s="78" t="s">
        <v>85</v>
      </c>
      <c r="N2" s="78" t="s">
        <v>86</v>
      </c>
      <c r="O2" s="78" t="s">
        <v>38</v>
      </c>
      <c r="P2" s="78" t="s">
        <v>39</v>
      </c>
      <c r="Q2" s="78" t="s">
        <v>93</v>
      </c>
      <c r="R2" s="78" t="s">
        <v>94</v>
      </c>
      <c r="S2" s="78" t="s">
        <v>40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89">
        <v>0.94</v>
      </c>
      <c r="C4" s="90">
        <v>0.97</v>
      </c>
      <c r="D4" s="90"/>
      <c r="E4" s="92">
        <v>0.83</v>
      </c>
      <c r="F4" s="91"/>
      <c r="G4" s="92">
        <v>0.76</v>
      </c>
      <c r="H4" s="92">
        <v>0.96</v>
      </c>
      <c r="I4" s="92">
        <v>0.67</v>
      </c>
      <c r="J4" s="93">
        <v>0.9</v>
      </c>
      <c r="K4" s="93">
        <v>0.97</v>
      </c>
      <c r="L4" s="93">
        <v>0.93</v>
      </c>
      <c r="M4" s="93">
        <v>0.98</v>
      </c>
      <c r="N4" s="93">
        <v>0.9</v>
      </c>
      <c r="O4" s="93">
        <v>0.87</v>
      </c>
      <c r="P4" s="93">
        <v>0.87</v>
      </c>
      <c r="Q4" s="93">
        <v>0.95</v>
      </c>
      <c r="R4" s="93">
        <v>0.86</v>
      </c>
      <c r="S4" s="93">
        <v>0.94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90</v>
      </c>
      <c r="B7" s="75"/>
      <c r="C7" s="75"/>
      <c r="D7" s="75"/>
      <c r="E7" s="75"/>
      <c r="F7" s="75"/>
      <c r="G7" s="75"/>
      <c r="H7" s="75"/>
      <c r="I7" s="75"/>
      <c r="J7" s="84"/>
      <c r="K7" s="84"/>
      <c r="L7" s="84"/>
      <c r="M7" s="84"/>
      <c r="N7" s="88"/>
      <c r="O7" s="84"/>
      <c r="P7" s="84"/>
      <c r="Q7" s="84"/>
      <c r="R7" s="84"/>
      <c r="S7" s="88"/>
      <c r="T7" s="16"/>
    </row>
    <row r="8" spans="1:20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60" x14ac:dyDescent="0.25">
      <c r="A10" s="95" t="s">
        <v>96</v>
      </c>
      <c r="B10" s="75" t="s">
        <v>119</v>
      </c>
      <c r="C10" s="76"/>
      <c r="D10" s="76"/>
      <c r="E10" s="76"/>
      <c r="F10" s="74"/>
      <c r="G10" s="74"/>
      <c r="H10" s="74"/>
      <c r="I10" s="74"/>
      <c r="J10" s="75" t="s">
        <v>134</v>
      </c>
      <c r="K10" s="12">
        <v>644.90000000000009</v>
      </c>
      <c r="L10" s="12">
        <v>1689</v>
      </c>
      <c r="M10" s="12">
        <v>3398.8</v>
      </c>
      <c r="N10" s="12">
        <v>5017</v>
      </c>
      <c r="O10" s="12">
        <v>7343</v>
      </c>
      <c r="P10" s="16"/>
      <c r="Q10" s="16"/>
    </row>
    <row r="11" spans="1:20" x14ac:dyDescent="0.25">
      <c r="J11" s="81"/>
      <c r="K11" s="75">
        <v>1000</v>
      </c>
      <c r="L11" s="75">
        <v>3000</v>
      </c>
      <c r="M11" s="75">
        <v>4000</v>
      </c>
      <c r="N11" s="75">
        <v>6000</v>
      </c>
      <c r="O11" s="96">
        <v>8000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60" x14ac:dyDescent="0.25">
      <c r="A13" s="95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39997558519241921"/>
  </sheetPr>
  <dimension ref="A2:GV47"/>
  <sheetViews>
    <sheetView zoomScale="90" zoomScaleNormal="90" zoomScaleSheetLayoutView="40" workbookViewId="0">
      <pane xSplit="1" topLeftCell="AK1" activePane="topRight" state="frozen"/>
      <selection pane="topRight" activeCell="AS15" sqref="AS15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8" width="10.7109375" customWidth="1"/>
    <col min="19" max="19" width="11.7109375" customWidth="1"/>
    <col min="21" max="21" width="11.5703125" customWidth="1"/>
    <col min="23" max="23" width="13.5703125" customWidth="1"/>
    <col min="25" max="25" width="9.42578125" customWidth="1"/>
    <col min="26" max="26" width="9.85546875" customWidth="1"/>
    <col min="27" max="27" width="9" customWidth="1"/>
    <col min="28" max="28" width="8.5703125" customWidth="1"/>
    <col min="29" max="30" width="9.5703125" customWidth="1"/>
    <col min="31" max="31" width="10.5703125" customWidth="1"/>
    <col min="32" max="32" width="9.42578125" customWidth="1"/>
    <col min="33" max="33" width="10.7109375" customWidth="1"/>
    <col min="34" max="34" width="10.5703125" customWidth="1"/>
    <col min="35" max="35" width="13.140625" customWidth="1"/>
    <col min="36" max="36" width="17.85546875" customWidth="1"/>
    <col min="37" max="37" width="12.42578125" customWidth="1"/>
    <col min="38" max="38" width="10.5703125" customWidth="1"/>
    <col min="39" max="39" width="14.28515625" customWidth="1"/>
    <col min="40" max="40" width="10.5703125" customWidth="1"/>
    <col min="41" max="41" width="12.85546875" customWidth="1"/>
    <col min="42" max="44" width="10.5703125" customWidth="1"/>
    <col min="45" max="45" width="12.85546875" customWidth="1"/>
    <col min="46" max="46" width="10.5703125" customWidth="1"/>
    <col min="47" max="47" width="14.5703125" customWidth="1"/>
    <col min="48" max="48" width="10.5703125" customWidth="1"/>
    <col min="49" max="49" width="14.28515625" customWidth="1"/>
    <col min="50" max="54" width="10.5703125" customWidth="1"/>
    <col min="55" max="55" width="13.140625" customWidth="1"/>
    <col min="56" max="56" width="10.5703125" customWidth="1"/>
    <col min="57" max="57" width="14.42578125" customWidth="1"/>
    <col min="58" max="64" width="11.140625" customWidth="1"/>
    <col min="65" max="65" width="12.85546875" customWidth="1"/>
    <col min="66" max="68" width="11.140625" customWidth="1"/>
    <col min="69" max="69" width="11.42578125" customWidth="1"/>
    <col min="70" max="70" width="10.140625" customWidth="1"/>
    <col min="71" max="71" width="11.42578125" customWidth="1"/>
    <col min="72" max="72" width="11.85546875" customWidth="1"/>
    <col min="73" max="73" width="11.28515625" customWidth="1"/>
    <col min="76" max="76" width="9.28515625" customWidth="1"/>
    <col min="77" max="77" width="13.5703125" customWidth="1"/>
    <col min="78" max="78" width="9.28515625" customWidth="1"/>
    <col min="79" max="79" width="13.7109375" customWidth="1"/>
    <col min="80" max="80" width="12.7109375" customWidth="1"/>
    <col min="81" max="81" width="14.42578125" customWidth="1"/>
    <col min="82" max="82" width="12.85546875" customWidth="1"/>
    <col min="84" max="84" width="11.42578125" customWidth="1"/>
    <col min="88" max="88" width="12" customWidth="1"/>
    <col min="90" max="90" width="12" customWidth="1"/>
    <col min="94" max="94" width="12" customWidth="1"/>
    <col min="96" max="96" width="11.85546875" customWidth="1"/>
    <col min="98" max="98" width="11.42578125" customWidth="1"/>
    <col min="100" max="100" width="11.28515625" customWidth="1"/>
    <col min="102" max="102" width="12.7109375" customWidth="1"/>
    <col min="108" max="108" width="8.28515625" customWidth="1"/>
    <col min="110" max="110" width="21.85546875" customWidth="1"/>
    <col min="123" max="123" width="20" customWidth="1"/>
    <col min="162" max="164" width="10.5703125" customWidth="1"/>
  </cols>
  <sheetData>
    <row r="2" spans="1:204" ht="15.75" customHeight="1" x14ac:dyDescent="0.25"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DI2" s="9"/>
    </row>
    <row r="3" spans="1:204" ht="17.25" customHeight="1" x14ac:dyDescent="0.25">
      <c r="U3" s="1"/>
      <c r="W3" s="19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9"/>
      <c r="BU3" s="16"/>
      <c r="BV3" s="19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</row>
    <row r="4" spans="1:204" x14ac:dyDescent="0.25">
      <c r="A4" t="s">
        <v>117</v>
      </c>
      <c r="U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9"/>
      <c r="BU4" s="16"/>
      <c r="BV4" s="19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</row>
    <row r="5" spans="1:204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</row>
    <row r="6" spans="1:204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1" t="s">
        <v>31</v>
      </c>
      <c r="P6" s="50" t="s">
        <v>111</v>
      </c>
      <c r="Q6" s="50" t="s">
        <v>112</v>
      </c>
      <c r="R6" s="50" t="s">
        <v>113</v>
      </c>
      <c r="S6" s="51" t="s">
        <v>31</v>
      </c>
      <c r="T6" s="50" t="s">
        <v>30</v>
      </c>
      <c r="U6" s="17"/>
      <c r="V6" s="17"/>
      <c r="W6" s="18"/>
      <c r="X6" s="24" t="s">
        <v>56</v>
      </c>
      <c r="Y6" s="25" t="s">
        <v>16</v>
      </c>
      <c r="Z6" s="26" t="s">
        <v>57</v>
      </c>
      <c r="AA6" s="25" t="s">
        <v>16</v>
      </c>
      <c r="AB6" s="26" t="s">
        <v>58</v>
      </c>
      <c r="AC6" s="25" t="s">
        <v>16</v>
      </c>
      <c r="AD6" s="26" t="s">
        <v>59</v>
      </c>
      <c r="AE6" s="25" t="s">
        <v>16</v>
      </c>
      <c r="AF6" s="26" t="s">
        <v>60</v>
      </c>
      <c r="AG6" s="25" t="s">
        <v>16</v>
      </c>
      <c r="AH6" s="17"/>
      <c r="AI6" s="17"/>
      <c r="AJ6" s="18"/>
      <c r="AK6" s="24" t="s">
        <v>74</v>
      </c>
      <c r="AL6" s="25" t="s">
        <v>16</v>
      </c>
      <c r="AM6" s="26" t="s">
        <v>73</v>
      </c>
      <c r="AN6" s="25" t="s">
        <v>16</v>
      </c>
      <c r="AO6" s="26" t="s">
        <v>72</v>
      </c>
      <c r="AP6" s="25" t="s">
        <v>16</v>
      </c>
      <c r="AQ6" s="26" t="s">
        <v>71</v>
      </c>
      <c r="AR6" s="25" t="s">
        <v>16</v>
      </c>
      <c r="AS6" s="26" t="s">
        <v>77</v>
      </c>
      <c r="AT6" s="25" t="s">
        <v>16</v>
      </c>
      <c r="AU6" s="17"/>
      <c r="AV6" s="27" t="s">
        <v>54</v>
      </c>
      <c r="AW6" s="24"/>
      <c r="AX6" s="27" t="s">
        <v>115</v>
      </c>
      <c r="AY6" s="24"/>
      <c r="AZ6" s="27" t="s">
        <v>116</v>
      </c>
      <c r="BA6" s="24"/>
      <c r="BB6" s="27" t="s">
        <v>55</v>
      </c>
      <c r="BC6" s="24"/>
      <c r="BD6" s="18"/>
      <c r="BE6" s="63"/>
      <c r="BF6" s="18"/>
      <c r="BG6" s="64"/>
      <c r="BH6" s="18"/>
      <c r="BI6" s="64"/>
      <c r="BJ6" s="18"/>
      <c r="BK6" s="17"/>
      <c r="BL6" s="63"/>
      <c r="BM6" s="63"/>
      <c r="BN6" s="17"/>
      <c r="BO6" s="65"/>
      <c r="BP6" s="18"/>
      <c r="BQ6" s="64"/>
      <c r="BR6" s="18"/>
      <c r="BS6" s="64"/>
      <c r="BT6" s="18"/>
      <c r="BU6" s="17"/>
      <c r="BV6" s="63"/>
      <c r="BW6" s="63"/>
      <c r="BX6" s="16"/>
      <c r="BY6" s="65"/>
      <c r="BZ6" s="18"/>
      <c r="CA6" s="64"/>
      <c r="CB6" s="18"/>
      <c r="CC6" s="64"/>
      <c r="CD6" s="18"/>
      <c r="CE6" s="17"/>
      <c r="CF6" s="63"/>
      <c r="CG6" s="63"/>
      <c r="CH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6"/>
      <c r="DE6" s="4"/>
      <c r="DF6" s="4"/>
      <c r="DG6" s="4"/>
      <c r="DH6" s="4"/>
      <c r="DK6" s="4"/>
      <c r="DL6" s="4"/>
      <c r="DM6" s="4"/>
      <c r="DN6" s="4"/>
      <c r="DO6" s="4"/>
      <c r="DP6" s="4"/>
      <c r="DQ6" s="4"/>
      <c r="DR6" s="4"/>
      <c r="DT6" s="4"/>
      <c r="DU6" s="4"/>
      <c r="DV6" s="4"/>
      <c r="DW6" s="4"/>
      <c r="DX6" s="4"/>
      <c r="DY6" s="4"/>
      <c r="EB6" s="4"/>
      <c r="EC6" s="4"/>
      <c r="ED6" s="4"/>
      <c r="EE6" s="4"/>
      <c r="EF6" s="4"/>
      <c r="EG6" s="4"/>
      <c r="EH6" s="4"/>
      <c r="EI6" s="4"/>
      <c r="EL6" s="4"/>
      <c r="EM6" s="4"/>
      <c r="EN6" s="4"/>
      <c r="EO6" s="4"/>
      <c r="EP6" s="4"/>
      <c r="EQ6" s="4"/>
      <c r="ER6" s="4"/>
      <c r="ES6" s="4"/>
      <c r="ET6" s="4"/>
      <c r="EU6" s="4"/>
      <c r="EW6" s="4"/>
      <c r="EX6" s="4"/>
      <c r="EY6" s="4"/>
      <c r="EZ6" s="4"/>
      <c r="FA6" s="4"/>
      <c r="FB6" s="4"/>
      <c r="FC6" s="4"/>
      <c r="FD6" s="4"/>
      <c r="FE6" s="4"/>
      <c r="FF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H6" s="4"/>
      <c r="GI6" s="4"/>
      <c r="GJ6" s="4"/>
      <c r="GK6" s="4"/>
      <c r="GL6" s="4"/>
      <c r="GM6" s="4"/>
      <c r="GN6" s="4"/>
      <c r="GO6" s="4"/>
      <c r="GP6" s="4"/>
      <c r="GQ6" s="4"/>
      <c r="GS6" s="4"/>
    </row>
    <row r="7" spans="1:204" ht="15.75" x14ac:dyDescent="0.25">
      <c r="A7" t="s">
        <v>5</v>
      </c>
      <c r="B7" s="28">
        <v>2.06</v>
      </c>
      <c r="C7" s="29">
        <f>B7/AVERAGE($N7,$M7,$R7,$Q7)</f>
        <v>5.0339055531797912E-2</v>
      </c>
      <c r="D7" s="12">
        <v>1.7</v>
      </c>
      <c r="E7" s="29">
        <f>D7/AVERAGE($N7,$M7,$R7,$Q7)</f>
        <v>4.1541939031095362E-2</v>
      </c>
      <c r="F7" s="12">
        <v>2.64</v>
      </c>
      <c r="G7" s="29">
        <f>F7/AVERAGE($N7,$M7,$R7,$Q7)</f>
        <v>6.4512187671818683E-2</v>
      </c>
      <c r="H7" s="33"/>
      <c r="I7" s="274">
        <f>AVERAGE(B7,D7,F7)</f>
        <v>2.1333333333333333</v>
      </c>
      <c r="J7" s="30">
        <f>STDEV(B7,D7,F7)/I7</f>
        <v>0.22231470514790475</v>
      </c>
      <c r="K7" s="19"/>
      <c r="L7" s="52">
        <v>41.09</v>
      </c>
      <c r="M7" s="52">
        <v>41.23</v>
      </c>
      <c r="N7" s="52">
        <v>42.01</v>
      </c>
      <c r="O7" s="141">
        <f>AVERAGE(N7,L7,M7)</f>
        <v>41.443333333333328</v>
      </c>
      <c r="P7" s="52">
        <v>40</v>
      </c>
      <c r="Q7" s="52">
        <v>39.58</v>
      </c>
      <c r="R7" s="53">
        <v>40.869999999999997</v>
      </c>
      <c r="S7" s="53">
        <f>AVERAGE(R7,P7,Q7)</f>
        <v>40.15</v>
      </c>
      <c r="T7" s="54">
        <f>ABS(L7-R7)/AVERAGE(L7:R7)</f>
        <v>5.3804138959089353E-3</v>
      </c>
      <c r="U7" s="38"/>
      <c r="V7" s="38"/>
      <c r="W7" s="16"/>
      <c r="X7" s="28">
        <v>2.2400000000000002</v>
      </c>
      <c r="Y7" s="29">
        <f>X7/AVERAGE($N7,$M7,$R7,$Q7)</f>
        <v>5.473761378214919E-2</v>
      </c>
      <c r="Z7" s="12">
        <v>3.21</v>
      </c>
      <c r="AA7" s="29">
        <f>Z7/AVERAGE($N7,$M7,$R7,$Q7)</f>
        <v>7.8440955464597714E-2</v>
      </c>
      <c r="AB7" s="12">
        <v>1.82</v>
      </c>
      <c r="AC7" s="29">
        <f>AB7/AVERAGE($N7,$M7,$R7,$Q7)</f>
        <v>4.4474311197996212E-2</v>
      </c>
      <c r="AD7" s="12">
        <v>2.65</v>
      </c>
      <c r="AE7" s="29">
        <f>AD7/AVERAGE($N7,$M7,$R7,$Q7)</f>
        <v>6.4756552019060415E-2</v>
      </c>
      <c r="AF7" s="12">
        <v>1.56</v>
      </c>
      <c r="AG7" s="29">
        <f>AF7/AVERAGE($N7,$M7,$R7,$Q7)</f>
        <v>3.8120838169711041E-2</v>
      </c>
      <c r="AH7" s="16"/>
      <c r="AI7" s="38"/>
      <c r="AJ7" s="20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43"/>
      <c r="AV7" s="12">
        <v>2.29</v>
      </c>
      <c r="AW7" s="29">
        <f>AV7/AVERAGE($L7,$M7,$P7,$Q7)</f>
        <v>5.6578134651019157E-2</v>
      </c>
      <c r="AX7" s="12">
        <v>2.46</v>
      </c>
      <c r="AY7" s="29">
        <f>AX7/AVERAGE($L7,$M7,$P7,$Q7)</f>
        <v>6.0778258184064245E-2</v>
      </c>
      <c r="AZ7" s="12">
        <v>2.38</v>
      </c>
      <c r="BA7" s="29">
        <f>AZ7/AVERAGE($L7,$M7,$P7,$Q7)</f>
        <v>5.8801729462631257E-2</v>
      </c>
      <c r="BB7" s="12">
        <v>1.54</v>
      </c>
      <c r="BC7" s="29">
        <f>BB7/AVERAGE($L7,$M7,$P7,$Q7)</f>
        <v>3.8048177887584939E-2</v>
      </c>
      <c r="BD7" s="20"/>
      <c r="BE7" s="43"/>
      <c r="BF7" s="23"/>
      <c r="BG7" s="16"/>
      <c r="BH7" s="23"/>
      <c r="BI7" s="16"/>
      <c r="BJ7" s="23"/>
      <c r="BK7" s="23"/>
      <c r="BL7" s="16"/>
      <c r="BM7" s="38"/>
      <c r="BN7" s="16"/>
      <c r="BO7" s="43"/>
      <c r="BP7" s="23"/>
      <c r="BQ7" s="16"/>
      <c r="BR7" s="23"/>
      <c r="BS7" s="16"/>
      <c r="BT7" s="23"/>
      <c r="BU7" s="23"/>
      <c r="BV7" s="16"/>
      <c r="BW7" s="38"/>
      <c r="BX7" s="20"/>
      <c r="BY7" s="43"/>
      <c r="BZ7" s="23"/>
      <c r="CA7" s="16"/>
      <c r="CB7" s="23"/>
      <c r="CC7" s="16"/>
      <c r="CD7" s="23"/>
      <c r="CE7" s="23"/>
      <c r="CF7" s="16"/>
      <c r="CG7" s="38"/>
      <c r="CH7" s="16"/>
      <c r="CM7" s="20"/>
      <c r="CN7" s="16"/>
      <c r="CO7" s="20"/>
      <c r="CP7" s="16"/>
      <c r="CQ7" s="20"/>
      <c r="CR7" s="16"/>
      <c r="CS7" s="20"/>
      <c r="CT7" s="16"/>
      <c r="CU7" s="20"/>
      <c r="CV7" s="16"/>
      <c r="CW7" s="20"/>
      <c r="CX7" s="16"/>
      <c r="CY7" s="20"/>
      <c r="CZ7" s="19"/>
      <c r="DA7" s="19"/>
      <c r="DB7" s="19"/>
      <c r="DC7" s="1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5"/>
      <c r="EY7" s="8"/>
      <c r="FA7" s="8"/>
      <c r="FC7" s="8"/>
      <c r="FE7" s="1"/>
      <c r="FF7" s="8"/>
      <c r="FG7" s="2"/>
      <c r="FH7" s="5"/>
      <c r="FJ7" s="8"/>
      <c r="FL7" s="8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</row>
    <row r="8" spans="1:204" ht="15.75" x14ac:dyDescent="0.25">
      <c r="A8" t="s">
        <v>9</v>
      </c>
      <c r="B8" s="28">
        <v>32.94</v>
      </c>
      <c r="C8" s="30">
        <f>B8/AVERAGE($N8,$M8,$R8,$Q8)</f>
        <v>0.93966623876765076</v>
      </c>
      <c r="D8" s="12">
        <v>33.840000000000003</v>
      </c>
      <c r="E8" s="30">
        <f>D8/AVERAGE($N8,$M8,$R8,$Q8)</f>
        <v>0.96534017971758679</v>
      </c>
      <c r="F8" s="12">
        <v>26.35</v>
      </c>
      <c r="G8" s="30">
        <f>F8/AVERAGE($N8,$M8,$R8,$Q8)</f>
        <v>0.7516759378120097</v>
      </c>
      <c r="H8" s="34"/>
      <c r="I8" s="274">
        <f>AVERAGE(B8,D8,F8)</f>
        <v>31.043333333333333</v>
      </c>
      <c r="J8" s="30">
        <f>STDEV(B8,D8,F8)/I8</f>
        <v>0.13173136120010542</v>
      </c>
      <c r="K8" s="19"/>
      <c r="L8" s="52">
        <v>35.909999999999997</v>
      </c>
      <c r="M8" s="52">
        <v>36.32</v>
      </c>
      <c r="N8" s="52">
        <v>34.82</v>
      </c>
      <c r="O8" s="141">
        <f>AVERAGE(N8,L8,M8)</f>
        <v>35.68333333333333</v>
      </c>
      <c r="P8" s="52">
        <v>35.24</v>
      </c>
      <c r="Q8" s="52">
        <v>34.81</v>
      </c>
      <c r="R8" s="53">
        <v>34.270000000000003</v>
      </c>
      <c r="S8" s="141">
        <f>AVERAGE(R8,P8,Q8)</f>
        <v>34.773333333333333</v>
      </c>
      <c r="T8" s="54">
        <f>ABS(L8-R8)/AVERAGE(L8:R8)</f>
        <v>4.6467699282206079E-2</v>
      </c>
      <c r="U8" s="38"/>
      <c r="V8" s="38"/>
      <c r="W8" s="16"/>
      <c r="X8" s="28">
        <v>31.64</v>
      </c>
      <c r="Y8" s="30">
        <f>X8/AVERAGE($N8,$M8,$R8,$Q8)</f>
        <v>0.90258165739552132</v>
      </c>
      <c r="Z8" s="12">
        <v>33.880000000000003</v>
      </c>
      <c r="AA8" s="30">
        <f>Z8/AVERAGE($N8,$M8,$R8,$Q8)</f>
        <v>0.96648124375980615</v>
      </c>
      <c r="AB8" s="12">
        <v>32.590000000000003</v>
      </c>
      <c r="AC8" s="30">
        <f>AB8/AVERAGE($N8,$M8,$R8,$Q8)</f>
        <v>0.92968192839823149</v>
      </c>
      <c r="AD8" s="12">
        <v>34.25</v>
      </c>
      <c r="AE8" s="30">
        <f>AD8/AVERAGE($N8,$M8,$R8,$Q8)</f>
        <v>0.97703608615033521</v>
      </c>
      <c r="AF8" s="12">
        <v>31.7</v>
      </c>
      <c r="AG8" s="30">
        <f>AF8/AVERAGE($N8,$M8,$R8,$Q8)</f>
        <v>0.90429325345885037</v>
      </c>
      <c r="AH8" s="16"/>
      <c r="AI8" s="23"/>
      <c r="AJ8" s="20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43"/>
      <c r="AV8" s="12">
        <v>34.049999999999997</v>
      </c>
      <c r="AW8" s="30">
        <f>AV8/AVERAGE($L8,$M8,$P8,$Q8)</f>
        <v>0.95726736013494507</v>
      </c>
      <c r="AX8" s="12">
        <v>34.06</v>
      </c>
      <c r="AY8" s="30">
        <f>AX8/AVERAGE($L8,$M8,$P8,$Q8)</f>
        <v>0.95754849592353108</v>
      </c>
      <c r="AZ8" s="12">
        <v>34.590000000000003</v>
      </c>
      <c r="BA8" s="30">
        <f>AZ8/AVERAGE($L8,$M8,$P8,$Q8)</f>
        <v>0.97244869271858314</v>
      </c>
      <c r="BB8" s="12">
        <v>23.94</v>
      </c>
      <c r="BC8" s="29">
        <f>BB8/AVERAGE($L8,$M8,$P8,$Q8)</f>
        <v>0.67303907787461348</v>
      </c>
      <c r="BD8" s="20"/>
      <c r="BE8" s="43"/>
      <c r="BF8" s="38"/>
      <c r="BG8" s="16"/>
      <c r="BH8" s="38"/>
      <c r="BI8" s="16"/>
      <c r="BJ8" s="38"/>
      <c r="BK8" s="38"/>
      <c r="BL8" s="16"/>
      <c r="BM8" s="38"/>
      <c r="BN8" s="16"/>
      <c r="BO8" s="43"/>
      <c r="BP8" s="23"/>
      <c r="BQ8" s="16"/>
      <c r="BR8" s="23"/>
      <c r="BS8" s="16"/>
      <c r="BT8" s="23"/>
      <c r="BU8" s="38"/>
      <c r="BV8" s="16"/>
      <c r="BW8" s="38"/>
      <c r="BX8" s="20"/>
      <c r="BY8" s="43"/>
      <c r="BZ8" s="23"/>
      <c r="CA8" s="16"/>
      <c r="CB8" s="23"/>
      <c r="CC8" s="16"/>
      <c r="CD8" s="23"/>
      <c r="CE8" s="38"/>
      <c r="CF8" s="16"/>
      <c r="CG8" s="38"/>
      <c r="CH8" s="16"/>
      <c r="CM8" s="20"/>
      <c r="CN8" s="16"/>
      <c r="CO8" s="20"/>
      <c r="CP8" s="16"/>
      <c r="CQ8" s="20"/>
      <c r="CR8" s="16"/>
      <c r="CS8" s="20"/>
      <c r="CT8" s="16"/>
      <c r="CU8" s="20"/>
      <c r="CV8" s="16"/>
      <c r="CW8" s="20"/>
      <c r="CX8" s="16"/>
      <c r="CY8" s="20"/>
      <c r="CZ8" s="19"/>
      <c r="DA8" s="19"/>
      <c r="DB8" s="19"/>
      <c r="DC8" s="1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5"/>
      <c r="EY8" s="8"/>
      <c r="FA8" s="8"/>
      <c r="FC8" s="8"/>
      <c r="FE8" s="1"/>
      <c r="FF8" s="8"/>
      <c r="FG8" s="2"/>
      <c r="FH8" s="5"/>
      <c r="FJ8" s="8"/>
      <c r="FL8" s="8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</row>
    <row r="9" spans="1:204" ht="15.75" x14ac:dyDescent="0.25">
      <c r="A9" t="s">
        <v>7</v>
      </c>
      <c r="B9" s="28">
        <v>12.06</v>
      </c>
      <c r="C9" s="30">
        <f>B9/AVERAGE($N9,$M9,$R9,$Q9)</f>
        <v>0.979293544457978</v>
      </c>
      <c r="D9" s="12">
        <v>13.05</v>
      </c>
      <c r="E9" s="30">
        <f>D9/AVERAGE($N9,$M9,$R9,$Q9)</f>
        <v>1.0596833130328867</v>
      </c>
      <c r="F9" s="12">
        <v>21.75</v>
      </c>
      <c r="G9" s="29">
        <f>F9/AVERAGE($N9,$M9,$R9,$Q9)</f>
        <v>1.7661388550548109</v>
      </c>
      <c r="H9" s="34"/>
      <c r="I9" s="12">
        <f>AVERAGE(B9,D9,F9)</f>
        <v>15.62</v>
      </c>
      <c r="J9" s="29">
        <f>STDEV(B9,D9,F9)/I9</f>
        <v>0.34134208134286809</v>
      </c>
      <c r="K9" s="16"/>
      <c r="L9" s="52">
        <v>12.23</v>
      </c>
      <c r="M9" s="52">
        <v>13.48</v>
      </c>
      <c r="N9" s="52">
        <v>11.18</v>
      </c>
      <c r="O9" s="141">
        <f>AVERAGE(N9,L9,M9)</f>
        <v>12.296666666666667</v>
      </c>
      <c r="P9" s="52">
        <v>12.08</v>
      </c>
      <c r="Q9" s="52">
        <v>12.2</v>
      </c>
      <c r="R9" s="52">
        <v>12.4</v>
      </c>
      <c r="S9" s="141">
        <f>AVERAGE(R9,P9,Q9)</f>
        <v>12.226666666666667</v>
      </c>
      <c r="T9" s="54">
        <f>ABS(L9-R9)/AVERAGE(L9:R9)</f>
        <v>1.3858695652173906E-2</v>
      </c>
      <c r="U9" s="38"/>
      <c r="V9" s="38"/>
      <c r="W9" s="16"/>
      <c r="X9" s="28"/>
      <c r="Y9" s="12"/>
      <c r="Z9" s="12"/>
      <c r="AA9" s="12"/>
      <c r="AB9" s="12"/>
      <c r="AC9" s="12"/>
      <c r="AD9" s="12"/>
      <c r="AE9" s="12"/>
      <c r="AF9" s="12"/>
      <c r="AG9" s="12"/>
      <c r="AH9" s="16"/>
      <c r="AI9" s="45"/>
      <c r="AJ9" s="43"/>
      <c r="AK9" s="28">
        <v>11.37</v>
      </c>
      <c r="AL9" s="12">
        <f>AK9/0.5*10</f>
        <v>227.39999999999998</v>
      </c>
      <c r="AM9" s="12">
        <v>34.340000000000003</v>
      </c>
      <c r="AN9" s="12">
        <f>AM9/0.5*10</f>
        <v>686.80000000000007</v>
      </c>
      <c r="AO9" s="12">
        <v>35.200000000000003</v>
      </c>
      <c r="AP9" s="12">
        <f>AO9/0.5*20</f>
        <v>1408</v>
      </c>
      <c r="AQ9" s="12">
        <v>45.57</v>
      </c>
      <c r="AR9" s="12">
        <f>AQ9/0.5*20</f>
        <v>1822.8</v>
      </c>
      <c r="AS9" s="12">
        <v>13.73</v>
      </c>
      <c r="AT9" s="12">
        <f>AS9/0.5*100</f>
        <v>2746</v>
      </c>
      <c r="AU9" s="45"/>
      <c r="AV9" s="12">
        <v>8.73</v>
      </c>
      <c r="AW9" s="30"/>
      <c r="AX9" s="12">
        <v>8.69</v>
      </c>
      <c r="AY9" s="30"/>
      <c r="AZ9" s="12">
        <v>8.83</v>
      </c>
      <c r="BA9" s="30"/>
      <c r="BB9" s="12">
        <v>6.04</v>
      </c>
      <c r="BC9" s="30"/>
      <c r="BD9" s="19"/>
      <c r="BE9" s="43"/>
      <c r="BF9" s="16"/>
      <c r="BG9" s="16"/>
      <c r="BH9" s="16"/>
      <c r="BI9" s="16"/>
      <c r="BJ9" s="16"/>
      <c r="BK9" s="38"/>
      <c r="BL9" s="16"/>
      <c r="BM9" s="38"/>
      <c r="BN9" s="16"/>
      <c r="BO9" s="43"/>
      <c r="BP9" s="16"/>
      <c r="BQ9" s="16"/>
      <c r="BR9" s="16"/>
      <c r="BS9" s="16"/>
      <c r="BT9" s="16"/>
      <c r="BU9" s="38"/>
      <c r="BV9" s="16"/>
      <c r="BW9" s="38"/>
      <c r="BX9" s="20"/>
      <c r="BY9" s="43"/>
      <c r="BZ9" s="16"/>
      <c r="CA9" s="16"/>
      <c r="CB9" s="16"/>
      <c r="CC9" s="16"/>
      <c r="CD9" s="16"/>
      <c r="CE9" s="38"/>
      <c r="CF9" s="16"/>
      <c r="CG9" s="38"/>
      <c r="CH9" s="16"/>
      <c r="CM9" s="19"/>
      <c r="CN9" s="16"/>
      <c r="CO9" s="19"/>
      <c r="CP9" s="16"/>
      <c r="CQ9" s="19"/>
      <c r="CR9" s="16"/>
      <c r="CS9" s="19"/>
      <c r="CT9" s="16"/>
      <c r="CU9" s="19"/>
      <c r="CV9" s="16"/>
      <c r="CW9" s="19"/>
      <c r="CX9" s="16"/>
      <c r="CY9" s="19"/>
      <c r="CZ9" s="46"/>
      <c r="DA9" s="16"/>
      <c r="DB9" s="46"/>
      <c r="DC9" s="45"/>
      <c r="DD9" s="2"/>
      <c r="DE9" s="2"/>
      <c r="DI9" s="6"/>
      <c r="DJ9" s="2"/>
      <c r="DL9" s="8"/>
      <c r="DN9" s="8"/>
      <c r="DO9" s="8"/>
      <c r="DP9" s="8"/>
      <c r="DQ9" s="8"/>
      <c r="DR9" s="8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5"/>
      <c r="EE9" s="1"/>
      <c r="EG9" s="1"/>
      <c r="EI9" s="1"/>
      <c r="EJ9" s="1"/>
      <c r="EK9" s="2"/>
      <c r="EL9" s="2"/>
      <c r="EN9" s="7"/>
      <c r="EP9" s="7"/>
      <c r="ER9" s="7"/>
      <c r="ET9" s="7"/>
      <c r="EU9" s="7"/>
      <c r="EV9" s="7"/>
      <c r="EW9" s="7"/>
      <c r="EY9" s="7"/>
      <c r="FA9" s="7"/>
      <c r="FC9" s="7"/>
      <c r="FE9" s="7"/>
      <c r="FF9" s="7"/>
      <c r="FG9" s="7"/>
      <c r="FH9" s="7"/>
      <c r="FJ9" s="7"/>
      <c r="FL9" s="7"/>
      <c r="FN9" s="7"/>
      <c r="FP9" s="7"/>
      <c r="FR9" s="7"/>
      <c r="FS9" s="7"/>
      <c r="FT9" s="7"/>
      <c r="FU9" s="7"/>
      <c r="FW9" s="7"/>
      <c r="FY9" s="7"/>
      <c r="GA9" s="7"/>
      <c r="GC9" s="7"/>
      <c r="GE9" s="7"/>
      <c r="GF9" s="7"/>
      <c r="GG9" s="7"/>
      <c r="GH9" s="7"/>
      <c r="GJ9" s="7"/>
      <c r="GL9" s="7"/>
      <c r="GN9" s="7"/>
      <c r="GP9" s="7"/>
      <c r="GQ9" s="2"/>
      <c r="GR9" s="2"/>
      <c r="GS9" s="2"/>
    </row>
    <row r="10" spans="1:204" ht="15.75" x14ac:dyDescent="0.25">
      <c r="A10" t="s">
        <v>6</v>
      </c>
      <c r="B10" s="28">
        <v>21.12</v>
      </c>
      <c r="C10" s="30">
        <f>B10/AVERAGE($N10,$M10,$R10,$Q10)</f>
        <v>0.89264581572273882</v>
      </c>
      <c r="D10" s="12">
        <v>21.94</v>
      </c>
      <c r="E10" s="30">
        <f>D10/AVERAGE($N10,$M10,$R10,$Q10)</f>
        <v>0.92730346576500422</v>
      </c>
      <c r="F10" s="12">
        <v>27.5</v>
      </c>
      <c r="G10" s="29">
        <f>F10/AVERAGE($N10,$M10,$R10,$Q10)</f>
        <v>1.1622992392223161</v>
      </c>
      <c r="H10" s="34"/>
      <c r="I10" s="12">
        <f>AVERAGE(B10,D10,F10)</f>
        <v>23.52</v>
      </c>
      <c r="J10" s="29">
        <f>STDEV(B10,D10,F10)/I10</f>
        <v>0.14757995422663878</v>
      </c>
      <c r="K10" s="16"/>
      <c r="L10" s="52">
        <v>24.56</v>
      </c>
      <c r="M10" s="52">
        <v>26.3</v>
      </c>
      <c r="N10" s="52">
        <v>21.96</v>
      </c>
      <c r="O10" s="141">
        <f>AVERAGE(N10,L10,M10)</f>
        <v>24.27333333333333</v>
      </c>
      <c r="P10" s="52">
        <v>24.13</v>
      </c>
      <c r="Q10" s="52">
        <v>21.86</v>
      </c>
      <c r="R10" s="52">
        <v>24.52</v>
      </c>
      <c r="S10" s="141">
        <f>AVERAGE(R10,P10,Q10)</f>
        <v>23.50333333333333</v>
      </c>
      <c r="T10" s="54">
        <f>ABS(L10-R10)/AVERAGE(L10:R10)</f>
        <v>1.6706111652512524E-3</v>
      </c>
      <c r="U10" s="38"/>
      <c r="V10" s="38"/>
      <c r="W10" s="16"/>
      <c r="X10" s="28"/>
      <c r="Y10" s="12"/>
      <c r="Z10" s="12"/>
      <c r="AA10" s="12"/>
      <c r="AB10" s="12"/>
      <c r="AC10" s="12"/>
      <c r="AD10" s="12"/>
      <c r="AE10" s="12"/>
      <c r="AF10" s="12"/>
      <c r="AG10" s="12"/>
      <c r="AH10" s="16"/>
      <c r="AI10" s="45"/>
      <c r="AJ10" s="43"/>
      <c r="AK10" s="28">
        <v>22.09</v>
      </c>
      <c r="AL10" s="12">
        <f>AK10/0.5*10</f>
        <v>441.8</v>
      </c>
      <c r="AM10" s="12">
        <v>66.84</v>
      </c>
      <c r="AN10" s="12">
        <f>AM10/0.5*10</f>
        <v>1336.8000000000002</v>
      </c>
      <c r="AO10" s="12">
        <v>69.75</v>
      </c>
      <c r="AP10" s="12">
        <f>AO10/0.5*20</f>
        <v>2790</v>
      </c>
      <c r="AQ10" s="12">
        <v>90.98</v>
      </c>
      <c r="AR10" s="12">
        <f>AQ10/0.5*20</f>
        <v>3639.2000000000003</v>
      </c>
      <c r="AS10" s="12">
        <v>27.08</v>
      </c>
      <c r="AT10" s="12">
        <f>AS10/0.5*100</f>
        <v>5416</v>
      </c>
      <c r="AU10" s="45"/>
      <c r="AV10" s="12">
        <v>13.46</v>
      </c>
      <c r="AW10" s="30"/>
      <c r="AX10" s="12">
        <v>12.98</v>
      </c>
      <c r="AY10" s="30"/>
      <c r="AZ10" s="12">
        <v>12.95</v>
      </c>
      <c r="BA10" s="30"/>
      <c r="BB10" s="12">
        <v>9.9499999999999993</v>
      </c>
      <c r="BC10" s="30"/>
      <c r="BD10" s="19"/>
      <c r="BE10" s="43"/>
      <c r="BF10" s="16"/>
      <c r="BG10" s="16"/>
      <c r="BH10" s="16"/>
      <c r="BI10" s="16"/>
      <c r="BJ10" s="16"/>
      <c r="BK10" s="38"/>
      <c r="BL10" s="16"/>
      <c r="BM10" s="38"/>
      <c r="BN10" s="16"/>
      <c r="BO10" s="43"/>
      <c r="BP10" s="16"/>
      <c r="BQ10" s="16"/>
      <c r="BR10" s="16"/>
      <c r="BS10" s="16"/>
      <c r="BT10" s="16"/>
      <c r="BU10" s="38"/>
      <c r="BV10" s="16"/>
      <c r="BW10" s="38"/>
      <c r="BX10" s="20"/>
      <c r="BY10" s="43"/>
      <c r="BZ10" s="16"/>
      <c r="CA10" s="16"/>
      <c r="CB10" s="16"/>
      <c r="CC10" s="16"/>
      <c r="CD10" s="16"/>
      <c r="CE10" s="38"/>
      <c r="CF10" s="16"/>
      <c r="CG10" s="38"/>
      <c r="CH10" s="16"/>
      <c r="CM10" s="19"/>
      <c r="CN10" s="16"/>
      <c r="CO10" s="19"/>
      <c r="CP10" s="16"/>
      <c r="CQ10" s="19"/>
      <c r="CR10" s="16"/>
      <c r="CS10" s="19"/>
      <c r="CT10" s="16"/>
      <c r="CU10" s="19"/>
      <c r="CV10" s="16"/>
      <c r="CW10" s="19"/>
      <c r="CX10" s="16"/>
      <c r="CY10" s="19"/>
      <c r="CZ10" s="46"/>
      <c r="DA10" s="16"/>
      <c r="DB10" s="46"/>
      <c r="DC10" s="45"/>
      <c r="DD10" s="2"/>
      <c r="DE10" s="2"/>
      <c r="DH10" s="1"/>
      <c r="DI10" s="6"/>
      <c r="DJ10" s="2"/>
      <c r="DL10" s="8"/>
      <c r="DN10" s="8"/>
      <c r="DO10" s="8"/>
      <c r="DP10" s="8"/>
      <c r="DQ10" s="8"/>
      <c r="DR10" s="8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5"/>
      <c r="EE10" s="1"/>
      <c r="EG10" s="1"/>
      <c r="EI10" s="1"/>
      <c r="EJ10" s="1"/>
      <c r="EK10" s="2"/>
      <c r="EL10" s="2"/>
      <c r="EN10" s="7"/>
      <c r="EP10" s="7"/>
      <c r="ER10" s="7"/>
      <c r="ET10" s="7"/>
      <c r="EU10" s="7"/>
      <c r="EV10" s="7"/>
      <c r="EW10" s="7"/>
      <c r="EY10" s="7"/>
      <c r="FA10" s="7"/>
      <c r="FC10" s="7"/>
      <c r="FE10" s="7"/>
      <c r="FF10" s="7"/>
      <c r="FG10" s="7"/>
      <c r="FH10" s="7"/>
      <c r="FJ10" s="7"/>
      <c r="FL10" s="7"/>
      <c r="FN10" s="7"/>
      <c r="FP10" s="7"/>
      <c r="FR10" s="7"/>
      <c r="FS10" s="7"/>
      <c r="FT10" s="7"/>
      <c r="FU10" s="7"/>
      <c r="FW10" s="7"/>
      <c r="FY10" s="7"/>
      <c r="GA10" s="7"/>
      <c r="GC10" s="7"/>
      <c r="GE10" s="7"/>
      <c r="GF10" s="7"/>
      <c r="GG10" s="7"/>
      <c r="GH10" s="7"/>
      <c r="GJ10" s="7"/>
      <c r="GL10" s="7"/>
      <c r="GN10" s="7"/>
      <c r="GP10" s="7"/>
      <c r="GQ10" s="2"/>
      <c r="GR10" s="2"/>
      <c r="GS10" s="2"/>
    </row>
    <row r="11" spans="1:204" ht="15.75" x14ac:dyDescent="0.25">
      <c r="A11" t="s">
        <v>17</v>
      </c>
      <c r="B11" s="52">
        <f>SUM(B$10+B$9)</f>
        <v>33.18</v>
      </c>
      <c r="C11" s="30">
        <f>B11/AVERAGE($N11,$M11,$R11,$Q11)</f>
        <v>0.92230715774843641</v>
      </c>
      <c r="D11" s="52">
        <f>SUM(D$10+D$9)</f>
        <v>34.99</v>
      </c>
      <c r="E11" s="30">
        <f>D11/AVERAGE($N11,$M11,$R11,$Q11)</f>
        <v>0.97261987491313417</v>
      </c>
      <c r="F11" s="52">
        <f>SUM(F$10+F$9)</f>
        <v>49.25</v>
      </c>
      <c r="G11" s="29">
        <f>F11/AVERAGE($N11,$M11,$R11,$Q11)</f>
        <v>1.3690062543432939</v>
      </c>
      <c r="H11" s="34"/>
      <c r="I11" s="12">
        <f>AVERAGE(B11,D11,F11)</f>
        <v>39.14</v>
      </c>
      <c r="J11" s="29">
        <f>STDEV(B11,D11,F11)/I11</f>
        <v>0.22488923113257667</v>
      </c>
      <c r="K11" s="19"/>
      <c r="L11" s="52">
        <f>SUM(L$10+L$9)</f>
        <v>36.79</v>
      </c>
      <c r="M11" s="52">
        <f>SUM(M$10+M$9)</f>
        <v>39.78</v>
      </c>
      <c r="N11" s="52">
        <f>SUM(N$10+N$9)</f>
        <v>33.14</v>
      </c>
      <c r="O11" s="53">
        <f>AVERAGE(N11,L11,M11)</f>
        <v>36.57</v>
      </c>
      <c r="P11" s="52">
        <f>SUM(P$10+P$9)</f>
        <v>36.21</v>
      </c>
      <c r="Q11" s="52">
        <f>SUM(Q$10+Q$9)</f>
        <v>34.06</v>
      </c>
      <c r="R11" s="52">
        <f>SUM(R$10+R$9)</f>
        <v>36.92</v>
      </c>
      <c r="S11" s="53">
        <f>AVERAGE(R11,P11,Q11)</f>
        <v>35.729999999999997</v>
      </c>
      <c r="T11" s="54">
        <f>ABS(L11-R11)/AVERAGE(L11:R11)</f>
        <v>3.5901684617509681E-3</v>
      </c>
      <c r="U11" s="38"/>
      <c r="V11" s="38"/>
      <c r="W11" s="16"/>
      <c r="X11" s="13"/>
      <c r="Y11" s="12"/>
      <c r="Z11" s="13"/>
      <c r="AA11" s="12"/>
      <c r="AB11" s="13"/>
      <c r="AC11" s="12"/>
      <c r="AD11" s="13"/>
      <c r="AE11" s="12"/>
      <c r="AF11" s="13"/>
      <c r="AG11" s="12"/>
      <c r="AH11" s="16"/>
      <c r="AI11" s="45"/>
      <c r="AJ11" s="43"/>
      <c r="AK11" s="13">
        <f>SUM(AK10,AK9)</f>
        <v>33.46</v>
      </c>
      <c r="AL11" s="12">
        <f>AK11/0.5*10</f>
        <v>669.2</v>
      </c>
      <c r="AM11" s="13">
        <f>SUM(AM10,AM9)</f>
        <v>101.18</v>
      </c>
      <c r="AN11" s="12">
        <f>AM11/0.5*10</f>
        <v>2023.6000000000001</v>
      </c>
      <c r="AO11" s="13">
        <f>SUM(AO10,AO9)</f>
        <v>104.95</v>
      </c>
      <c r="AP11" s="12">
        <f>AO11/0.5*20</f>
        <v>4198</v>
      </c>
      <c r="AQ11" s="13">
        <f>SUM(AQ10,AQ9)</f>
        <v>136.55000000000001</v>
      </c>
      <c r="AR11" s="12">
        <f>AQ11/0.5*20</f>
        <v>5462</v>
      </c>
      <c r="AS11" s="13">
        <f>SUM(AS10,AS9)</f>
        <v>40.81</v>
      </c>
      <c r="AT11" s="12">
        <f>AS11/0.5*100</f>
        <v>8162</v>
      </c>
      <c r="AU11" s="45" t="s">
        <v>81</v>
      </c>
      <c r="AV11" s="12"/>
      <c r="AW11" s="30"/>
      <c r="AX11" s="12"/>
      <c r="AY11" s="30"/>
      <c r="AZ11" s="12"/>
      <c r="BA11" s="30"/>
      <c r="BB11" s="12"/>
      <c r="BC11" s="30"/>
      <c r="BD11" s="19"/>
      <c r="BE11" s="19"/>
      <c r="BF11" s="16"/>
      <c r="BG11" s="19"/>
      <c r="BH11" s="16"/>
      <c r="BI11" s="19"/>
      <c r="BJ11" s="16"/>
      <c r="BK11" s="38"/>
      <c r="BL11" s="16"/>
      <c r="BM11" s="38"/>
      <c r="BN11" s="19"/>
      <c r="BO11" s="19"/>
      <c r="BP11" s="16"/>
      <c r="BQ11" s="19"/>
      <c r="BR11" s="16"/>
      <c r="BS11" s="19"/>
      <c r="BT11" s="16"/>
      <c r="BU11" s="38"/>
      <c r="BV11" s="16"/>
      <c r="BW11" s="38"/>
      <c r="BX11" s="20"/>
      <c r="BY11" s="19"/>
      <c r="BZ11" s="16"/>
      <c r="CA11" s="19"/>
      <c r="CB11" s="16"/>
      <c r="CC11" s="19"/>
      <c r="CD11" s="16"/>
      <c r="CE11" s="38"/>
      <c r="CF11" s="16"/>
      <c r="CG11" s="38"/>
      <c r="CH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46"/>
      <c r="DA11" s="16"/>
      <c r="DB11" s="46"/>
      <c r="DC11" s="45"/>
      <c r="DD11" s="2"/>
      <c r="DE11" s="2"/>
      <c r="DH11" s="1"/>
      <c r="DI11" s="6"/>
      <c r="DJ11" s="2"/>
      <c r="DL11" s="8"/>
      <c r="DN11" s="8"/>
      <c r="DO11" s="8"/>
      <c r="DP11" s="8"/>
      <c r="DQ11" s="8"/>
      <c r="DR11" s="8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5"/>
      <c r="EE11" s="1"/>
      <c r="EG11" s="1"/>
      <c r="EI11" s="1"/>
      <c r="EJ11" s="1"/>
      <c r="EK11" s="2"/>
      <c r="EL11" s="2"/>
      <c r="EN11" s="7"/>
      <c r="EP11" s="7"/>
      <c r="ER11" s="7"/>
      <c r="ET11" s="7"/>
      <c r="EU11" s="7"/>
      <c r="EV11" s="7"/>
      <c r="EW11" s="7"/>
      <c r="EY11" s="7"/>
      <c r="FA11" s="7"/>
      <c r="FC11" s="7"/>
      <c r="FE11" s="7"/>
      <c r="FF11" s="7"/>
      <c r="FG11" s="7"/>
      <c r="FH11" s="7"/>
      <c r="FJ11" s="7"/>
      <c r="FL11" s="7"/>
      <c r="FN11" s="7"/>
      <c r="FP11" s="7"/>
      <c r="FR11" s="7"/>
      <c r="FS11" s="7"/>
      <c r="FT11" s="7"/>
      <c r="FU11" s="7"/>
      <c r="FW11" s="7"/>
      <c r="FY11" s="7"/>
      <c r="GA11" s="7"/>
      <c r="GC11" s="7"/>
      <c r="GE11" s="7"/>
      <c r="GF11" s="7"/>
      <c r="GG11" s="7"/>
      <c r="GH11" s="7"/>
      <c r="GJ11" s="7"/>
      <c r="GL11" s="7"/>
      <c r="GN11" s="7"/>
      <c r="GP11" s="7"/>
      <c r="GQ11" s="2"/>
      <c r="GR11" s="2"/>
      <c r="GS11" s="2"/>
    </row>
    <row r="12" spans="1:204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55">
        <f t="shared" ref="L12:S12" si="0">(L7+L8+L11)/3</f>
        <v>37.93</v>
      </c>
      <c r="M12" s="55">
        <f t="shared" si="0"/>
        <v>39.11</v>
      </c>
      <c r="N12" s="275">
        <f t="shared" si="0"/>
        <v>36.656666666666666</v>
      </c>
      <c r="O12" s="275">
        <f t="shared" si="0"/>
        <v>37.898888888888884</v>
      </c>
      <c r="P12" s="55">
        <f t="shared" si="0"/>
        <v>37.150000000000006</v>
      </c>
      <c r="Q12" s="55">
        <f t="shared" si="0"/>
        <v>36.15</v>
      </c>
      <c r="R12" s="275">
        <f t="shared" si="0"/>
        <v>37.353333333333332</v>
      </c>
      <c r="S12" s="275">
        <f t="shared" si="0"/>
        <v>36.884444444444448</v>
      </c>
      <c r="T12" s="55"/>
      <c r="U12" s="37"/>
      <c r="V12" s="37"/>
      <c r="W12" s="19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1"/>
      <c r="AI12" s="21"/>
      <c r="AJ12" s="20"/>
      <c r="AK12" s="31"/>
      <c r="AL12" s="99">
        <f>AL11/AK13</f>
        <v>0.66920000000000002</v>
      </c>
      <c r="AM12" s="31"/>
      <c r="AN12" s="99">
        <f>AN11/AM13</f>
        <v>0.67453333333333343</v>
      </c>
      <c r="AO12" s="31"/>
      <c r="AP12" s="69">
        <f>AP11/AO13</f>
        <v>1.0495000000000001</v>
      </c>
      <c r="AQ12" s="31"/>
      <c r="AR12" s="69">
        <f>AR11/AQ13</f>
        <v>0.91033333333333333</v>
      </c>
      <c r="AS12" s="31"/>
      <c r="AT12" s="69">
        <f>AT11/AS13</f>
        <v>1.0202500000000001</v>
      </c>
      <c r="AU12" s="2">
        <f>AVERAGE(AL12,AN12,AP12,AR12,AT12)</f>
        <v>0.86476333333333355</v>
      </c>
      <c r="AV12" s="31"/>
      <c r="AW12" s="31"/>
      <c r="AX12" s="31"/>
      <c r="AY12" s="31"/>
      <c r="AZ12" s="31"/>
      <c r="BA12" s="31"/>
      <c r="BB12" s="31"/>
      <c r="BC12" s="31"/>
      <c r="BD12" s="20"/>
      <c r="BE12" s="66"/>
      <c r="BF12" s="66"/>
      <c r="BG12" s="66"/>
      <c r="BH12" s="66"/>
      <c r="BI12" s="66"/>
      <c r="BJ12" s="66"/>
      <c r="BK12" s="21"/>
      <c r="BL12" s="66"/>
      <c r="BM12" s="66"/>
      <c r="BN12" s="21"/>
      <c r="BO12" s="66"/>
      <c r="BP12" s="66"/>
      <c r="BQ12" s="66"/>
      <c r="BR12" s="66"/>
      <c r="BS12" s="66"/>
      <c r="BT12" s="66"/>
      <c r="BU12" s="21"/>
      <c r="BV12" s="66"/>
      <c r="BW12" s="66"/>
      <c r="BX12" s="16"/>
      <c r="BY12" s="66"/>
      <c r="BZ12" s="66"/>
      <c r="CA12" s="66"/>
      <c r="CB12" s="66"/>
      <c r="CC12" s="66"/>
      <c r="CD12" s="66"/>
      <c r="CE12" s="21"/>
      <c r="CF12" s="66"/>
      <c r="CG12" s="66"/>
      <c r="CH12" s="16"/>
      <c r="CM12" s="20"/>
      <c r="CN12" s="19"/>
      <c r="CO12" s="20"/>
      <c r="CP12" s="16"/>
      <c r="CQ12" s="20"/>
      <c r="CR12" s="16"/>
      <c r="CS12" s="20"/>
      <c r="CT12" s="16"/>
      <c r="CU12" s="20"/>
      <c r="CV12" s="19"/>
      <c r="CW12" s="20"/>
      <c r="CX12" s="16"/>
      <c r="CY12" s="20"/>
      <c r="CZ12" s="16"/>
      <c r="DA12" s="16"/>
      <c r="DB12" s="16"/>
      <c r="DC12" s="16"/>
      <c r="DI12" s="6"/>
      <c r="DJ12" s="2"/>
      <c r="DL12" s="8"/>
      <c r="DN12" s="8"/>
      <c r="DO12" s="8"/>
      <c r="DP12" s="8"/>
      <c r="DQ12" s="8"/>
      <c r="DR12" s="8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P12" s="5"/>
      <c r="EZ12" s="2"/>
    </row>
    <row r="13" spans="1:204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>
        <v>40</v>
      </c>
      <c r="T13" s="55"/>
      <c r="U13" s="37"/>
      <c r="V13" s="37"/>
      <c r="W13" s="19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2"/>
      <c r="AI13" s="22"/>
      <c r="AJ13" s="44"/>
      <c r="AK13" s="32">
        <v>1000</v>
      </c>
      <c r="AL13" s="59"/>
      <c r="AM13" s="59">
        <v>3000</v>
      </c>
      <c r="AN13" s="59"/>
      <c r="AO13" s="59">
        <v>4000</v>
      </c>
      <c r="AP13" s="59"/>
      <c r="AQ13" s="59">
        <v>6000</v>
      </c>
      <c r="AR13" s="59"/>
      <c r="AS13" s="59">
        <v>8000</v>
      </c>
      <c r="AT13" s="32"/>
      <c r="AU13" s="22"/>
      <c r="AV13" s="32"/>
      <c r="AW13" s="32"/>
      <c r="AX13" s="32"/>
      <c r="AY13" s="32"/>
      <c r="AZ13" s="32"/>
      <c r="BA13" s="32"/>
      <c r="BB13" s="32"/>
      <c r="BC13" s="32"/>
      <c r="BD13" s="44"/>
      <c r="BE13" s="67"/>
      <c r="BF13" s="67"/>
      <c r="BG13" s="67"/>
      <c r="BH13" s="67"/>
      <c r="BI13" s="67"/>
      <c r="BJ13" s="67"/>
      <c r="BK13" s="22"/>
      <c r="BL13" s="67"/>
      <c r="BM13" s="67"/>
      <c r="BN13" s="22"/>
      <c r="BO13" s="67"/>
      <c r="BP13" s="67"/>
      <c r="BQ13" s="67"/>
      <c r="BR13" s="67"/>
      <c r="BS13" s="67"/>
      <c r="BT13" s="67"/>
      <c r="BU13" s="22"/>
      <c r="BV13" s="67"/>
      <c r="BW13" s="67"/>
      <c r="BX13" s="19"/>
      <c r="BY13" s="67"/>
      <c r="BZ13" s="67"/>
      <c r="CA13" s="67"/>
      <c r="CB13" s="67"/>
      <c r="CC13" s="67"/>
      <c r="CD13" s="67"/>
      <c r="CE13" s="22"/>
      <c r="CF13" s="67"/>
      <c r="CG13" s="67"/>
      <c r="CH13" s="16"/>
      <c r="CM13" s="44"/>
      <c r="CN13" s="16"/>
      <c r="CO13" s="44"/>
      <c r="CP13" s="16"/>
      <c r="CQ13" s="44"/>
      <c r="CR13" s="16"/>
      <c r="CS13" s="44"/>
      <c r="CT13" s="16"/>
      <c r="CU13" s="44"/>
      <c r="CV13" s="16"/>
      <c r="CW13" s="44"/>
      <c r="CX13" s="16"/>
      <c r="CY13" s="44"/>
      <c r="CZ13" s="19"/>
      <c r="DA13" s="19"/>
      <c r="DB13" s="19"/>
      <c r="DC13" s="19"/>
      <c r="DD13" s="1"/>
      <c r="DE13" s="1"/>
      <c r="DI13" s="6"/>
      <c r="DJ13" s="2"/>
      <c r="DL13" s="8"/>
      <c r="DN13" s="8"/>
      <c r="DO13" s="8"/>
      <c r="DP13" s="8"/>
      <c r="DQ13" s="8"/>
      <c r="DR13" s="8"/>
      <c r="DS13" s="14"/>
      <c r="DT13" s="15"/>
      <c r="DU13" s="15"/>
      <c r="DV13" s="15"/>
      <c r="DW13" s="15"/>
      <c r="DX13" s="15"/>
      <c r="DY13" s="15"/>
      <c r="DZ13" s="15"/>
      <c r="EA13" s="14"/>
      <c r="EB13" s="14"/>
      <c r="EC13" s="14"/>
      <c r="EF13" s="2"/>
      <c r="EX13" s="2"/>
    </row>
    <row r="14" spans="1:204" ht="15.75" x14ac:dyDescent="0.25">
      <c r="A14" t="s">
        <v>11</v>
      </c>
      <c r="B14" s="30">
        <f>ABS(B11-B13)/B13</f>
        <v>0.17050000000000001</v>
      </c>
      <c r="C14" s="33"/>
      <c r="D14" s="30">
        <f>ABS(D11-D13)/D13</f>
        <v>0.12524999999999994</v>
      </c>
      <c r="E14" s="34"/>
      <c r="F14" s="29">
        <f>ABS(F11-F13)/F13</f>
        <v>0.23125000000000001</v>
      </c>
      <c r="G14" s="34"/>
      <c r="H14" s="34"/>
      <c r="I14" s="34"/>
      <c r="J14" s="34"/>
      <c r="K14" s="38"/>
      <c r="L14" s="30">
        <f t="shared" ref="L14:S14" si="1">(L12-L13)/L13</f>
        <v>-5.1750000000000004E-2</v>
      </c>
      <c r="M14" s="30">
        <f t="shared" si="1"/>
        <v>-2.2250000000000013E-2</v>
      </c>
      <c r="N14" s="30">
        <f t="shared" si="1"/>
        <v>-8.3583333333333343E-2</v>
      </c>
      <c r="O14" s="30">
        <f t="shared" si="1"/>
        <v>-5.2527777777777909E-2</v>
      </c>
      <c r="P14" s="30">
        <f t="shared" si="1"/>
        <v>-7.1249999999999855E-2</v>
      </c>
      <c r="Q14" s="30">
        <f t="shared" si="1"/>
        <v>-9.625000000000003E-2</v>
      </c>
      <c r="R14" s="30">
        <f t="shared" si="1"/>
        <v>-6.6166666666666707E-2</v>
      </c>
      <c r="S14" s="54">
        <f t="shared" si="1"/>
        <v>-7.7888888888888813E-2</v>
      </c>
      <c r="T14" s="56"/>
      <c r="U14" s="19"/>
      <c r="V14" s="19"/>
      <c r="W14" s="19"/>
      <c r="X14" s="49"/>
      <c r="Y14" s="23"/>
      <c r="Z14" s="49"/>
      <c r="AA14" s="38"/>
      <c r="AB14" s="49"/>
      <c r="AC14" s="38"/>
      <c r="AD14" s="38"/>
      <c r="AE14" s="38"/>
      <c r="AF14" s="38"/>
      <c r="AG14" s="38"/>
      <c r="AH14" s="38"/>
      <c r="AI14" s="38"/>
      <c r="AJ14" s="16"/>
      <c r="AK14" s="100">
        <f>ABS(AL11-AK13)/AK13</f>
        <v>0.33079999999999993</v>
      </c>
      <c r="AL14" s="61"/>
      <c r="AM14" s="100">
        <f>ABS(AN11-AM13)/AM13</f>
        <v>0.32546666666666663</v>
      </c>
      <c r="AN14" s="62"/>
      <c r="AO14" s="72">
        <f>ABS(AP11-AO13)/AO13</f>
        <v>4.9500000000000002E-2</v>
      </c>
      <c r="AP14" s="62"/>
      <c r="AQ14" s="72">
        <f>ABS(AR11-AQ13)/AQ13</f>
        <v>8.9666666666666672E-2</v>
      </c>
      <c r="AR14" s="62"/>
      <c r="AS14" s="72">
        <f>ABS(AT11-AS13)/AS13</f>
        <v>2.0250000000000001E-2</v>
      </c>
      <c r="AT14" s="16"/>
      <c r="AU14" s="45"/>
      <c r="AV14" s="38"/>
      <c r="AW14" s="36"/>
      <c r="AX14" s="38"/>
      <c r="AY14" s="36"/>
      <c r="AZ14" s="38"/>
      <c r="BA14" s="38"/>
      <c r="BB14" s="38"/>
      <c r="BC14" s="38"/>
      <c r="BD14" s="16"/>
      <c r="BE14" s="23"/>
      <c r="BF14" s="23"/>
      <c r="BG14" s="38"/>
      <c r="BH14" s="38"/>
      <c r="BI14" s="38"/>
      <c r="BJ14" s="38"/>
      <c r="BK14" s="38"/>
      <c r="BL14" s="38"/>
      <c r="BM14" s="38"/>
      <c r="BN14" s="20"/>
      <c r="BO14" s="23"/>
      <c r="BP14" s="23"/>
      <c r="BQ14" s="23"/>
      <c r="BR14" s="38"/>
      <c r="BS14" s="23"/>
      <c r="BT14" s="38"/>
      <c r="BU14" s="38"/>
      <c r="BV14" s="38"/>
      <c r="BW14" s="38"/>
      <c r="BX14" s="16"/>
      <c r="BY14" s="38"/>
      <c r="BZ14" s="23"/>
      <c r="CA14" s="38"/>
      <c r="CB14" s="38"/>
      <c r="CC14" s="38"/>
      <c r="CD14" s="38"/>
      <c r="CE14" s="38"/>
      <c r="CF14" s="38"/>
      <c r="CG14" s="38"/>
      <c r="CH14" s="16"/>
      <c r="CM14" s="19"/>
      <c r="CN14" s="19"/>
      <c r="CO14" s="19"/>
      <c r="CP14" s="19"/>
      <c r="CQ14" s="19"/>
      <c r="CR14" s="19"/>
      <c r="CS14" s="19"/>
      <c r="CT14" s="16"/>
      <c r="CU14" s="16"/>
      <c r="CV14" s="16"/>
      <c r="CW14" s="47"/>
      <c r="CX14" s="16"/>
      <c r="CY14" s="16"/>
      <c r="CZ14" s="16"/>
      <c r="DA14" s="16"/>
      <c r="DB14" s="16"/>
      <c r="DC14" s="16"/>
      <c r="DI14" s="6"/>
      <c r="DJ14" s="2"/>
      <c r="DL14" s="8"/>
      <c r="DN14" s="8"/>
      <c r="DO14" s="8"/>
      <c r="DP14" s="8"/>
      <c r="DQ14" s="8"/>
      <c r="DR14" s="8"/>
      <c r="DS14" s="14"/>
      <c r="DT14" s="42"/>
      <c r="DU14" s="42"/>
      <c r="DV14" s="42"/>
      <c r="DW14" s="42"/>
      <c r="DX14" s="42"/>
      <c r="DY14" s="42"/>
      <c r="DZ14" s="42"/>
      <c r="EA14" s="15"/>
      <c r="EB14" s="14"/>
      <c r="EC14" s="14"/>
    </row>
    <row r="15" spans="1:204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V15" s="35"/>
      <c r="W15" s="68" t="s">
        <v>79</v>
      </c>
      <c r="X15" s="30">
        <f>AVERAGE(Y8,Y19)</f>
        <v>0.88803309085722437</v>
      </c>
      <c r="Y15" s="71"/>
      <c r="Z15" s="30">
        <f>AVERAGE(AA8,AA19)</f>
        <v>0.91827128797603774</v>
      </c>
      <c r="AA15" s="71"/>
      <c r="AB15" s="30">
        <f>AVERAGE(AC8,AC19)</f>
        <v>0.93823990871487672</v>
      </c>
      <c r="AC15" s="71"/>
      <c r="AD15" s="30">
        <f>AVERAGE(AE8,AE19)</f>
        <v>0.91727285693909577</v>
      </c>
      <c r="AE15" s="71"/>
      <c r="AF15" s="30">
        <f>AVERAGE(AG8,AG19)</f>
        <v>0.92454714020824413</v>
      </c>
      <c r="AG15" s="16"/>
      <c r="AH15" s="16"/>
      <c r="AI15" s="16"/>
      <c r="AJ15" s="68" t="s">
        <v>80</v>
      </c>
      <c r="AK15" s="103">
        <f>AVERAGE(AL11,AL22)</f>
        <v>644.90000000000009</v>
      </c>
      <c r="AL15" s="71"/>
      <c r="AM15" s="277">
        <f>AVERAGE(AN11,AN22)</f>
        <v>1689</v>
      </c>
      <c r="AN15" s="71"/>
      <c r="AO15" s="103">
        <f>AVERAGE(AP11,AP22)</f>
        <v>3398.8</v>
      </c>
      <c r="AP15" s="71"/>
      <c r="AQ15" s="277">
        <f>AVERAGE(AR11,AR22)</f>
        <v>5017</v>
      </c>
      <c r="AR15" s="71"/>
      <c r="AS15" s="277">
        <f>AVERAGE(AT11,AT22)</f>
        <v>7343</v>
      </c>
      <c r="AT15" s="16"/>
      <c r="AU15" s="16"/>
      <c r="AV15" s="16"/>
      <c r="AW15" s="16"/>
      <c r="AX15" s="16"/>
      <c r="AY15" s="20"/>
      <c r="AZ15" s="16"/>
      <c r="BA15" s="16"/>
      <c r="BB15" s="16"/>
      <c r="BC15" s="16"/>
      <c r="BD15" s="16"/>
      <c r="BE15" s="16"/>
      <c r="BF15" s="16"/>
      <c r="BG15" s="19"/>
      <c r="BH15" s="19"/>
      <c r="BI15" s="19"/>
      <c r="BJ15" s="19"/>
      <c r="BK15" s="19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20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I15" s="6"/>
      <c r="DJ15" s="2"/>
      <c r="DL15" s="8"/>
      <c r="DN15" s="8"/>
      <c r="DO15" s="8"/>
      <c r="DP15" s="8"/>
      <c r="DQ15" s="8"/>
      <c r="DR15" s="8"/>
      <c r="DS15" s="14"/>
      <c r="DT15" s="42"/>
      <c r="DU15" s="42"/>
      <c r="DV15" s="42"/>
      <c r="DW15" s="42"/>
      <c r="DX15" s="42"/>
      <c r="DY15" s="42"/>
      <c r="DZ15" s="42"/>
      <c r="EA15" s="14"/>
      <c r="EB15" s="14"/>
      <c r="EC15" s="14"/>
    </row>
    <row r="16" spans="1:204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9"/>
      <c r="BH16" s="19"/>
      <c r="BI16" s="19"/>
      <c r="BJ16" s="19"/>
      <c r="BK16" s="19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I16" s="6"/>
      <c r="DJ16" s="2"/>
      <c r="DL16" s="8"/>
      <c r="DN16" s="8"/>
      <c r="DO16" s="8"/>
      <c r="DP16" s="8"/>
      <c r="DQ16" s="8"/>
      <c r="DR16" s="8"/>
      <c r="DS16" s="14"/>
      <c r="DT16" s="42"/>
      <c r="DU16" s="42"/>
      <c r="DV16" s="42"/>
      <c r="DW16" s="42"/>
      <c r="DX16" s="42"/>
      <c r="DY16" s="42"/>
      <c r="DZ16" s="42"/>
      <c r="EA16" s="14"/>
      <c r="EB16" s="14"/>
      <c r="EC16" s="14"/>
    </row>
    <row r="17" spans="1:133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57"/>
      <c r="R17" s="17"/>
      <c r="S17" s="18"/>
      <c r="T17" s="17"/>
      <c r="U17" s="17"/>
      <c r="V17" s="17"/>
      <c r="W17" s="18"/>
      <c r="X17" s="24" t="s">
        <v>61</v>
      </c>
      <c r="Y17" s="25" t="s">
        <v>16</v>
      </c>
      <c r="Z17" s="26" t="s">
        <v>62</v>
      </c>
      <c r="AA17" s="25" t="s">
        <v>16</v>
      </c>
      <c r="AB17" s="26" t="s">
        <v>63</v>
      </c>
      <c r="AC17" s="25" t="s">
        <v>16</v>
      </c>
      <c r="AD17" s="26" t="s">
        <v>64</v>
      </c>
      <c r="AE17" s="25" t="s">
        <v>16</v>
      </c>
      <c r="AF17" s="26" t="s">
        <v>65</v>
      </c>
      <c r="AG17" s="25" t="s">
        <v>16</v>
      </c>
      <c r="AH17" s="17"/>
      <c r="AI17" s="17"/>
      <c r="AJ17" s="18"/>
      <c r="AK17" s="24" t="s">
        <v>66</v>
      </c>
      <c r="AL17" s="25" t="s">
        <v>16</v>
      </c>
      <c r="AM17" s="26" t="s">
        <v>67</v>
      </c>
      <c r="AN17" s="25" t="s">
        <v>16</v>
      </c>
      <c r="AO17" s="26" t="s">
        <v>68</v>
      </c>
      <c r="AP17" s="25" t="s">
        <v>16</v>
      </c>
      <c r="AQ17" s="26" t="s">
        <v>69</v>
      </c>
      <c r="AR17" s="25" t="s">
        <v>16</v>
      </c>
      <c r="AS17" s="26" t="s">
        <v>70</v>
      </c>
      <c r="AT17" s="25" t="s">
        <v>16</v>
      </c>
      <c r="AU17" s="17"/>
      <c r="AV17" s="18"/>
      <c r="AW17" s="60"/>
      <c r="AX17" s="18"/>
      <c r="AY17" s="60"/>
      <c r="AZ17" s="18"/>
      <c r="BA17" s="17"/>
      <c r="BB17" s="17"/>
      <c r="BC17" s="17"/>
      <c r="BD17" s="18"/>
      <c r="BE17" s="63"/>
      <c r="BF17" s="18"/>
      <c r="BG17" s="64"/>
      <c r="BH17" s="18"/>
      <c r="BI17" s="64"/>
      <c r="BJ17" s="18"/>
      <c r="BK17" s="17"/>
      <c r="BL17" s="63"/>
      <c r="BM17" s="63"/>
      <c r="BN17" s="17"/>
      <c r="BO17" s="65"/>
      <c r="BP17" s="18"/>
      <c r="BQ17" s="64"/>
      <c r="BR17" s="18"/>
      <c r="BS17" s="64"/>
      <c r="BT17" s="18"/>
      <c r="BU17" s="17"/>
      <c r="BV17" s="63"/>
      <c r="BW17" s="63"/>
      <c r="BX17" s="16"/>
      <c r="BY17" s="65"/>
      <c r="BZ17" s="18"/>
      <c r="CA17" s="64"/>
      <c r="CB17" s="18"/>
      <c r="CC17" s="64"/>
      <c r="CD17" s="18"/>
      <c r="CE17" s="17"/>
      <c r="CF17" s="63"/>
      <c r="CG17" s="63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I17" s="6"/>
      <c r="DJ17" s="2"/>
      <c r="DL17" s="8"/>
      <c r="DN17" s="8"/>
      <c r="DO17" s="8"/>
      <c r="DP17" s="8"/>
      <c r="DQ17" s="8"/>
      <c r="DR17" s="8"/>
      <c r="DS17" s="14"/>
      <c r="DT17" s="42"/>
      <c r="DU17" s="42"/>
      <c r="DV17" s="42"/>
      <c r="DW17" s="42"/>
      <c r="DX17" s="42"/>
      <c r="DY17" s="42"/>
      <c r="DZ17" s="42"/>
      <c r="EA17" s="14"/>
      <c r="EB17" s="14"/>
      <c r="EC17" s="14"/>
    </row>
    <row r="18" spans="1:133" x14ac:dyDescent="0.25">
      <c r="B18" s="12">
        <v>1.62</v>
      </c>
      <c r="C18" s="29">
        <f>B18/AVERAGE($N7,$M7,$R7,$Q7)</f>
        <v>3.9587024253161469E-2</v>
      </c>
      <c r="D18" s="12">
        <v>1.27</v>
      </c>
      <c r="E18" s="29">
        <f>D18/AVERAGE($N7,$M7,$R7,$Q7)</f>
        <v>3.1034272099700656E-2</v>
      </c>
      <c r="F18" s="12">
        <v>1.62</v>
      </c>
      <c r="G18" s="29">
        <f>F18/AVERAGE($N7,$M7,$R7,$Q7)</f>
        <v>3.9587024253161469E-2</v>
      </c>
      <c r="H18" s="33"/>
      <c r="I18" s="274">
        <f>AVERAGE(B18,D18,F18)</f>
        <v>1.5033333333333332</v>
      </c>
      <c r="J18" s="30">
        <f>STDEV(B18,D18,F18)/I18</f>
        <v>0.13441635978916</v>
      </c>
      <c r="K18" s="1"/>
      <c r="L18" s="58"/>
      <c r="M18" s="58"/>
      <c r="N18" s="58"/>
      <c r="O18" s="58"/>
      <c r="P18" s="58"/>
      <c r="Q18" s="58"/>
      <c r="R18" s="1"/>
      <c r="T18" s="38"/>
      <c r="U18" s="38"/>
      <c r="V18" s="38"/>
      <c r="W18" s="16"/>
      <c r="X18" s="28">
        <v>1.82</v>
      </c>
      <c r="Y18" s="29">
        <f>X18/AVERAGE($N7,$M7,$R7,$Q7)</f>
        <v>4.4474311197996212E-2</v>
      </c>
      <c r="Z18" s="12">
        <v>1.65</v>
      </c>
      <c r="AA18" s="29">
        <f>Z18/AVERAGE($N7,$M7,$R7,$Q7)</f>
        <v>4.0320117294886673E-2</v>
      </c>
      <c r="AB18" s="12">
        <v>1.78</v>
      </c>
      <c r="AC18" s="29">
        <f>AB18/AVERAGE($N7,$M7,$R7,$Q7)</f>
        <v>4.3496853809029262E-2</v>
      </c>
      <c r="AD18" s="12">
        <v>1.55</v>
      </c>
      <c r="AE18" s="29">
        <f>AD18/AVERAGE($N7,$M7,$R7,$Q7)</f>
        <v>3.7876473822469302E-2</v>
      </c>
      <c r="AF18" s="12">
        <v>1.52</v>
      </c>
      <c r="AG18" s="29">
        <f>AF18/AVERAGE($N7,$M7,$R7,$Q7)</f>
        <v>3.7143380780744091E-2</v>
      </c>
      <c r="AH18" s="16"/>
      <c r="AI18" s="38"/>
      <c r="AJ18" s="20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43"/>
      <c r="AV18" s="23"/>
      <c r="AW18" s="16"/>
      <c r="AX18" s="23"/>
      <c r="AY18" s="16"/>
      <c r="AZ18" s="23"/>
      <c r="BA18" s="23"/>
      <c r="BB18" s="16"/>
      <c r="BC18" s="38"/>
      <c r="BD18" s="20"/>
      <c r="BE18" s="43"/>
      <c r="BF18" s="23"/>
      <c r="BG18" s="16"/>
      <c r="BH18" s="23"/>
      <c r="BI18" s="16"/>
      <c r="BJ18" s="23"/>
      <c r="BK18" s="23"/>
      <c r="BL18" s="16"/>
      <c r="BM18" s="38"/>
      <c r="BN18" s="16"/>
      <c r="BO18" s="43"/>
      <c r="BP18" s="23"/>
      <c r="BQ18" s="16"/>
      <c r="BR18" s="23"/>
      <c r="BS18" s="16"/>
      <c r="BT18" s="23"/>
      <c r="BU18" s="23"/>
      <c r="BV18" s="16"/>
      <c r="BW18" s="38"/>
      <c r="BX18" s="20"/>
      <c r="BY18" s="43"/>
      <c r="BZ18" s="23"/>
      <c r="CA18" s="16"/>
      <c r="CB18" s="23"/>
      <c r="CC18" s="16"/>
      <c r="CD18" s="23"/>
      <c r="CE18" s="23"/>
      <c r="CF18" s="16"/>
      <c r="CG18" s="38"/>
      <c r="CR18" s="2"/>
      <c r="DI18" s="6"/>
      <c r="DJ18" s="2"/>
      <c r="DL18" s="8"/>
      <c r="DN18" s="8"/>
      <c r="DO18" s="8"/>
      <c r="DP18" s="8"/>
      <c r="DQ18" s="8"/>
      <c r="DR18" s="8"/>
      <c r="DS18" s="14"/>
      <c r="DT18" s="42"/>
      <c r="DU18" s="42"/>
      <c r="DV18" s="42"/>
      <c r="DW18" s="42"/>
      <c r="DX18" s="42"/>
      <c r="DY18" s="42"/>
      <c r="DZ18" s="42"/>
      <c r="EA18" s="14"/>
      <c r="EB18" s="14"/>
      <c r="EC18" s="14"/>
    </row>
    <row r="19" spans="1:133" x14ac:dyDescent="0.25">
      <c r="B19" s="12">
        <v>28.96</v>
      </c>
      <c r="C19" s="30">
        <f>B19/AVERAGE($N8,$M8,$R8,$Q8)</f>
        <v>0.82613036656682359</v>
      </c>
      <c r="D19" s="12">
        <v>17.63</v>
      </c>
      <c r="E19" s="29">
        <f>D19/AVERAGE($N8,$M8,$R8,$Q8)</f>
        <v>0.50292397660818711</v>
      </c>
      <c r="F19" s="12">
        <v>26.72</v>
      </c>
      <c r="G19" s="30">
        <f>F19/AVERAGE($N8,$M8,$R8,$Q8)</f>
        <v>0.76223078020253887</v>
      </c>
      <c r="H19" s="34"/>
      <c r="I19" s="274">
        <f>AVERAGE(B19,D19,F19)</f>
        <v>24.436666666666667</v>
      </c>
      <c r="J19" s="30">
        <f>STDEV(B19,D19,F19)/I19</f>
        <v>0.2455409674403761</v>
      </c>
      <c r="K19" s="11"/>
      <c r="L19" s="58"/>
      <c r="M19" s="58"/>
      <c r="N19" s="58"/>
      <c r="O19" s="58"/>
      <c r="P19" s="58"/>
      <c r="Q19" s="58"/>
      <c r="T19" s="38"/>
      <c r="U19" s="38"/>
      <c r="V19" s="38"/>
      <c r="W19" s="16"/>
      <c r="X19" s="28">
        <v>30.62</v>
      </c>
      <c r="Y19" s="30">
        <f>X19/AVERAGE($N8,$M8,$R8,$Q8)</f>
        <v>0.87348452431892742</v>
      </c>
      <c r="Z19" s="12">
        <v>30.5</v>
      </c>
      <c r="AA19" s="30">
        <f>Z19/AVERAGE($N8,$M8,$R8,$Q8)</f>
        <v>0.87006133219226933</v>
      </c>
      <c r="AB19" s="12">
        <v>33.19</v>
      </c>
      <c r="AC19" s="30">
        <f>AB19/AVERAGE($N8,$M8,$R8,$Q8)</f>
        <v>0.94679788903152184</v>
      </c>
      <c r="AD19" s="12">
        <v>30.06</v>
      </c>
      <c r="AE19" s="30">
        <f>AD19/AVERAGE($N8,$M8,$R8,$Q8)</f>
        <v>0.85750962772785622</v>
      </c>
      <c r="AF19" s="12">
        <v>33.119999999999997</v>
      </c>
      <c r="AG19" s="30">
        <f>AF19/AVERAGE($N8,$M8,$R8,$Q8)</f>
        <v>0.9448010269576379</v>
      </c>
      <c r="AH19" s="16"/>
      <c r="AI19" s="23"/>
      <c r="AJ19" s="20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43"/>
      <c r="AV19" s="38"/>
      <c r="AW19" s="16"/>
      <c r="AX19" s="38"/>
      <c r="AY19" s="16"/>
      <c r="AZ19" s="38"/>
      <c r="BA19" s="38"/>
      <c r="BB19" s="16"/>
      <c r="BC19" s="38"/>
      <c r="BD19" s="20"/>
      <c r="BE19" s="43"/>
      <c r="BF19" s="38"/>
      <c r="BG19" s="16"/>
      <c r="BH19" s="38"/>
      <c r="BI19" s="16"/>
      <c r="BJ19" s="38"/>
      <c r="BK19" s="38"/>
      <c r="BL19" s="16"/>
      <c r="BM19" s="38"/>
      <c r="BN19" s="16"/>
      <c r="BO19" s="43"/>
      <c r="BP19" s="23"/>
      <c r="BQ19" s="16"/>
      <c r="BR19" s="23"/>
      <c r="BS19" s="16"/>
      <c r="BT19" s="23"/>
      <c r="BU19" s="38"/>
      <c r="BV19" s="16"/>
      <c r="BW19" s="38"/>
      <c r="BX19" s="20"/>
      <c r="BY19" s="43"/>
      <c r="BZ19" s="23"/>
      <c r="CA19" s="16"/>
      <c r="CB19" s="23"/>
      <c r="CC19" s="16"/>
      <c r="CD19" s="23"/>
      <c r="CE19" s="38"/>
      <c r="CF19" s="16"/>
      <c r="CG19" s="38"/>
      <c r="DG19" s="10"/>
      <c r="DH19" s="10"/>
      <c r="DI19" s="10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</row>
    <row r="20" spans="1:133" x14ac:dyDescent="0.25">
      <c r="A20" t="s">
        <v>0</v>
      </c>
      <c r="B20" s="12">
        <v>9.65</v>
      </c>
      <c r="C20" s="30">
        <f>B20/AVERAGE($N9,$M9,$R9,$Q9)</f>
        <v>0.78359723913926105</v>
      </c>
      <c r="D20" s="12">
        <v>6.34</v>
      </c>
      <c r="E20" s="29">
        <f>D20/AVERAGE($N9,$M9,$R9,$Q9)</f>
        <v>0.51481932602517244</v>
      </c>
      <c r="F20" s="12">
        <v>13.18</v>
      </c>
      <c r="G20" s="30">
        <f>F20/AVERAGE($N9,$M9,$R9,$Q9)</f>
        <v>1.0702395452699958</v>
      </c>
      <c r="H20" s="34"/>
      <c r="I20" s="274">
        <f>AVERAGE(B20,D20,F20)</f>
        <v>9.7233333333333345</v>
      </c>
      <c r="J20" s="29">
        <f>STDEV(B20,D20,F20)/I20</f>
        <v>0.35179187018752994</v>
      </c>
      <c r="L20" s="58"/>
      <c r="M20" s="58"/>
      <c r="N20" s="58"/>
      <c r="O20" s="58"/>
      <c r="P20" s="58"/>
      <c r="Q20" s="58"/>
      <c r="T20" s="38"/>
      <c r="U20" s="38"/>
      <c r="V20" s="38"/>
      <c r="W20" s="16"/>
      <c r="X20" s="28"/>
      <c r="Y20" s="12"/>
      <c r="Z20" s="12"/>
      <c r="AA20" s="12"/>
      <c r="AB20" s="12"/>
      <c r="AC20" s="12"/>
      <c r="AD20" s="12"/>
      <c r="AE20" s="12"/>
      <c r="AF20" s="12"/>
      <c r="AG20" s="12"/>
      <c r="AH20" s="16"/>
      <c r="AI20" s="45"/>
      <c r="AJ20" s="43"/>
      <c r="AK20" s="28">
        <v>12.06</v>
      </c>
      <c r="AL20" s="12">
        <f>AK20/0.5*10</f>
        <v>241.20000000000002</v>
      </c>
      <c r="AM20" s="12">
        <v>25.46</v>
      </c>
      <c r="AN20" s="12">
        <f>AM20/0.5*10</f>
        <v>509.20000000000005</v>
      </c>
      <c r="AO20" s="12">
        <v>24.18</v>
      </c>
      <c r="AP20" s="12">
        <f>AO20/0.5*20</f>
        <v>967.2</v>
      </c>
      <c r="AQ20" s="12">
        <v>42.23</v>
      </c>
      <c r="AR20" s="12">
        <f>AQ20/0.5*20</f>
        <v>1689.1999999999998</v>
      </c>
      <c r="AS20" s="12">
        <v>11.48</v>
      </c>
      <c r="AT20" s="12">
        <f>AS20/0.5*100</f>
        <v>2296</v>
      </c>
      <c r="AU20" s="45"/>
      <c r="AV20" s="45"/>
      <c r="AW20" s="45"/>
      <c r="AX20" s="45"/>
      <c r="AY20" s="45"/>
      <c r="AZ20" s="45"/>
      <c r="BA20" s="45"/>
      <c r="BB20" s="16"/>
      <c r="BC20" s="45"/>
      <c r="BD20" s="19"/>
      <c r="BE20" s="43"/>
      <c r="BF20" s="16"/>
      <c r="BG20" s="16"/>
      <c r="BH20" s="16"/>
      <c r="BI20" s="16"/>
      <c r="BJ20" s="16"/>
      <c r="BK20" s="38"/>
      <c r="BL20" s="16"/>
      <c r="BM20" s="38"/>
      <c r="BN20" s="16"/>
      <c r="BO20" s="43"/>
      <c r="BP20" s="16"/>
      <c r="BQ20" s="16"/>
      <c r="BR20" s="16"/>
      <c r="BS20" s="16"/>
      <c r="BT20" s="16"/>
      <c r="BU20" s="38"/>
      <c r="BV20" s="16"/>
      <c r="BW20" s="38"/>
      <c r="BX20" s="20"/>
      <c r="BY20" s="43"/>
      <c r="BZ20" s="16"/>
      <c r="CA20" s="16"/>
      <c r="CB20" s="16"/>
      <c r="CC20" s="16"/>
      <c r="CD20" s="16"/>
      <c r="CE20" s="38"/>
      <c r="CF20" s="16"/>
      <c r="CG20" s="38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</row>
    <row r="21" spans="1:133" x14ac:dyDescent="0.25">
      <c r="B21" s="12">
        <v>17.899999999999999</v>
      </c>
      <c r="C21" s="30">
        <f>B21/AVERAGE($N10,$M10,$R10,$Q10)</f>
        <v>0.75655114116652566</v>
      </c>
      <c r="D21" s="12">
        <v>12</v>
      </c>
      <c r="E21" s="29">
        <f>D21/AVERAGE($N10,$M10,$R10,$Q10)</f>
        <v>0.50718512256973791</v>
      </c>
      <c r="F21" s="12">
        <v>24.83</v>
      </c>
      <c r="G21" s="30">
        <f>F21/AVERAGE($N10,$M10,$R10,$Q10)</f>
        <v>1.0494505494505493</v>
      </c>
      <c r="H21" s="34"/>
      <c r="I21" s="274">
        <f>AVERAGE(B21,D21,F21)</f>
        <v>18.243333333333332</v>
      </c>
      <c r="J21" s="29">
        <f>STDEV(B21,D21,F21)/I21</f>
        <v>0.35201281128753037</v>
      </c>
      <c r="L21" s="58"/>
      <c r="M21" s="58"/>
      <c r="N21" s="58"/>
      <c r="O21" s="58"/>
      <c r="P21" s="58"/>
      <c r="Q21" s="58"/>
      <c r="T21" s="38"/>
      <c r="U21" s="38"/>
      <c r="V21" s="38"/>
      <c r="W21" s="16"/>
      <c r="X21" s="28"/>
      <c r="Y21" s="12"/>
      <c r="Z21" s="12"/>
      <c r="AA21" s="12"/>
      <c r="AB21" s="12"/>
      <c r="AC21" s="12"/>
      <c r="AD21" s="12"/>
      <c r="AE21" s="12"/>
      <c r="AF21" s="12"/>
      <c r="AG21" s="12"/>
      <c r="AH21" s="16"/>
      <c r="AI21" s="45"/>
      <c r="AJ21" s="43"/>
      <c r="AK21" s="28">
        <v>18.97</v>
      </c>
      <c r="AL21" s="12">
        <f>AK21/0.5*10</f>
        <v>379.4</v>
      </c>
      <c r="AM21" s="12">
        <v>42.26</v>
      </c>
      <c r="AN21" s="12">
        <f>AM21/0.5*10</f>
        <v>845.19999999999993</v>
      </c>
      <c r="AO21" s="12">
        <v>40.81</v>
      </c>
      <c r="AP21" s="12">
        <f>AO21/0.5*20</f>
        <v>1632.4</v>
      </c>
      <c r="AQ21" s="12">
        <v>72.069999999999993</v>
      </c>
      <c r="AR21" s="12">
        <f>AQ21/0.5*20</f>
        <v>2882.7999999999997</v>
      </c>
      <c r="AS21" s="12">
        <v>21.14</v>
      </c>
      <c r="AT21" s="12">
        <f>AS21/0.5*100</f>
        <v>4228</v>
      </c>
      <c r="AU21" s="45"/>
      <c r="AV21" s="45"/>
      <c r="AW21" s="45"/>
      <c r="AX21" s="45"/>
      <c r="AY21" s="45"/>
      <c r="AZ21" s="45"/>
      <c r="BA21" s="45"/>
      <c r="BB21" s="16"/>
      <c r="BC21" s="45"/>
      <c r="BD21" s="19"/>
      <c r="BE21" s="43"/>
      <c r="BF21" s="16"/>
      <c r="BG21" s="16"/>
      <c r="BH21" s="16"/>
      <c r="BI21" s="16"/>
      <c r="BJ21" s="16"/>
      <c r="BK21" s="38"/>
      <c r="BL21" s="16"/>
      <c r="BM21" s="38"/>
      <c r="BN21" s="16"/>
      <c r="BO21" s="43"/>
      <c r="BP21" s="16"/>
      <c r="BQ21" s="16"/>
      <c r="BR21" s="16"/>
      <c r="BS21" s="16"/>
      <c r="BT21" s="16"/>
      <c r="BU21" s="38"/>
      <c r="BV21" s="16"/>
      <c r="BW21" s="38"/>
      <c r="BX21" s="20"/>
      <c r="BY21" s="43"/>
      <c r="BZ21" s="16"/>
      <c r="CA21" s="16"/>
      <c r="CB21" s="16"/>
      <c r="CC21" s="16"/>
      <c r="CD21" s="16"/>
      <c r="CE21" s="38"/>
      <c r="CF21" s="16"/>
      <c r="CG21" s="38"/>
      <c r="DG21" s="2"/>
      <c r="DH21" s="2"/>
      <c r="DI21" s="2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</row>
    <row r="22" spans="1:133" x14ac:dyDescent="0.25">
      <c r="A22" t="s">
        <v>20</v>
      </c>
      <c r="B22" s="13">
        <f>B20+B21</f>
        <v>27.549999999999997</v>
      </c>
      <c r="C22" s="30">
        <f>B22/AVERAGE($N11,$M11,$R11,$Q11)</f>
        <v>0.7658095899930506</v>
      </c>
      <c r="D22" s="13">
        <f>D20+D21</f>
        <v>18.34</v>
      </c>
      <c r="E22" s="29">
        <f>D22/AVERAGE($N11,$M11,$R11,$Q11)</f>
        <v>0.50979847116052812</v>
      </c>
      <c r="F22" s="13">
        <f>F20+F21</f>
        <v>38.01</v>
      </c>
      <c r="G22" s="30">
        <f>F22/AVERAGE($N11,$M11,$R11,$Q11)</f>
        <v>1.0565670604586517</v>
      </c>
      <c r="H22" s="34"/>
      <c r="I22" s="274">
        <f>AVERAGE(B22,D22,F22)</f>
        <v>27.966666666666669</v>
      </c>
      <c r="J22" s="29">
        <f>STDEV(B22,D22,F22)/I22</f>
        <v>0.35190527107856234</v>
      </c>
      <c r="L22" s="58"/>
      <c r="M22" s="58"/>
      <c r="N22" s="58"/>
      <c r="O22" s="58"/>
      <c r="P22" s="58"/>
      <c r="Q22" s="58"/>
      <c r="T22" s="38"/>
      <c r="U22" s="38"/>
      <c r="V22" s="38"/>
      <c r="W22" s="16"/>
      <c r="X22" s="13"/>
      <c r="Y22" s="12"/>
      <c r="Z22" s="13"/>
      <c r="AA22" s="12"/>
      <c r="AB22" s="12"/>
      <c r="AC22" s="12"/>
      <c r="AD22" s="12"/>
      <c r="AE22" s="12"/>
      <c r="AF22" s="12"/>
      <c r="AG22" s="12"/>
      <c r="AH22" s="16"/>
      <c r="AI22" s="45"/>
      <c r="AJ22" s="43"/>
      <c r="AK22" s="13">
        <f>SUM(AK21,AK20)</f>
        <v>31.03</v>
      </c>
      <c r="AL22" s="12">
        <f>AK22/0.5*10</f>
        <v>620.6</v>
      </c>
      <c r="AM22" s="13">
        <f>SUM(AM21,AM20)</f>
        <v>67.72</v>
      </c>
      <c r="AN22" s="12">
        <f>AM22/0.5*10</f>
        <v>1354.4</v>
      </c>
      <c r="AO22" s="13">
        <f>SUM(AO21,AO20)</f>
        <v>64.990000000000009</v>
      </c>
      <c r="AP22" s="12">
        <f>AO22/0.5*20</f>
        <v>2599.6000000000004</v>
      </c>
      <c r="AQ22" s="13">
        <f>SUM(AQ21,AQ20)</f>
        <v>114.29999999999998</v>
      </c>
      <c r="AR22" s="12">
        <f>AQ22/0.5*20</f>
        <v>4571.9999999999991</v>
      </c>
      <c r="AS22" s="13">
        <f>SUM(AS21,AS20)</f>
        <v>32.620000000000005</v>
      </c>
      <c r="AT22" s="12">
        <f>AS22/0.5*100</f>
        <v>6524.0000000000009</v>
      </c>
      <c r="AU22" s="21" t="s">
        <v>78</v>
      </c>
      <c r="AV22" s="45"/>
      <c r="AW22" s="45"/>
      <c r="AX22" s="45"/>
      <c r="AY22" s="45"/>
      <c r="AZ22" s="45"/>
      <c r="BA22" s="45"/>
      <c r="BB22" s="16"/>
      <c r="BC22" s="45"/>
      <c r="BD22" s="19"/>
      <c r="BE22" s="19"/>
      <c r="BF22" s="16"/>
      <c r="BG22" s="19"/>
      <c r="BH22" s="16"/>
      <c r="BI22" s="19"/>
      <c r="BJ22" s="16"/>
      <c r="BK22" s="38"/>
      <c r="BL22" s="16"/>
      <c r="BM22" s="38"/>
      <c r="BN22" s="19"/>
      <c r="BO22" s="19"/>
      <c r="BP22" s="16"/>
      <c r="BQ22" s="19"/>
      <c r="BR22" s="16"/>
      <c r="BS22" s="19"/>
      <c r="BT22" s="16"/>
      <c r="BU22" s="38"/>
      <c r="BV22" s="16"/>
      <c r="BW22" s="38"/>
      <c r="BX22" s="20"/>
      <c r="BY22" s="19"/>
      <c r="BZ22" s="16"/>
      <c r="CA22" s="19"/>
      <c r="CB22" s="16"/>
      <c r="CC22" s="19"/>
      <c r="CD22" s="16"/>
      <c r="CE22" s="38"/>
      <c r="CF22" s="16"/>
      <c r="CG22" s="38"/>
      <c r="DG22" s="2"/>
      <c r="DH22" s="2"/>
      <c r="DI22" s="2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</row>
    <row r="23" spans="1:133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37"/>
      <c r="R23" s="1"/>
      <c r="S23" s="1"/>
      <c r="T23" s="37"/>
      <c r="U23" s="37"/>
      <c r="V23" s="37"/>
      <c r="W23" s="19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1"/>
      <c r="AI23" s="21"/>
      <c r="AJ23" s="20"/>
      <c r="AK23" s="31"/>
      <c r="AL23" s="99">
        <f>AL22/AK24</f>
        <v>0.62060000000000004</v>
      </c>
      <c r="AM23" s="31"/>
      <c r="AN23" s="99">
        <f>AN22/AM24</f>
        <v>0.45146666666666668</v>
      </c>
      <c r="AO23" s="31"/>
      <c r="AP23" s="99">
        <f>AP22/AO24</f>
        <v>0.64990000000000014</v>
      </c>
      <c r="AQ23" s="31"/>
      <c r="AR23" s="69">
        <f>AR22/AQ24</f>
        <v>0.7619999999999999</v>
      </c>
      <c r="AS23" s="31"/>
      <c r="AT23" s="69">
        <f>AT22/AS24</f>
        <v>0.81550000000000011</v>
      </c>
      <c r="AU23" s="2">
        <f>AVERAGE(AL23,AN23,AP23,AR23,AT23)</f>
        <v>0.65989333333333344</v>
      </c>
      <c r="AV23" s="73"/>
      <c r="AW23" s="21"/>
      <c r="AX23" s="21"/>
      <c r="AY23" s="21"/>
      <c r="AZ23" s="21"/>
      <c r="BA23" s="21"/>
      <c r="BB23" s="21"/>
      <c r="BC23" s="21"/>
      <c r="BD23" s="20"/>
      <c r="BE23" s="66"/>
      <c r="BF23" s="66"/>
      <c r="BG23" s="66"/>
      <c r="BH23" s="66"/>
      <c r="BI23" s="66"/>
      <c r="BJ23" s="66"/>
      <c r="BK23" s="21"/>
      <c r="BL23" s="66"/>
      <c r="BM23" s="66"/>
      <c r="BN23" s="21"/>
      <c r="BO23" s="66"/>
      <c r="BP23" s="66"/>
      <c r="BQ23" s="66"/>
      <c r="BR23" s="66"/>
      <c r="BS23" s="66"/>
      <c r="BT23" s="66"/>
      <c r="BU23" s="21"/>
      <c r="BV23" s="66"/>
      <c r="BW23" s="66"/>
      <c r="BX23" s="16"/>
      <c r="BY23" s="66"/>
      <c r="BZ23" s="66"/>
      <c r="CA23" s="66"/>
      <c r="CB23" s="66"/>
      <c r="CC23" s="66"/>
      <c r="CD23" s="66"/>
      <c r="CE23" s="21"/>
      <c r="CF23" s="66"/>
      <c r="CG23" s="66"/>
    </row>
    <row r="24" spans="1:133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19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2"/>
      <c r="AI24" s="22"/>
      <c r="AJ24" s="44"/>
      <c r="AK24" s="32">
        <v>1000</v>
      </c>
      <c r="AL24" s="32"/>
      <c r="AM24" s="32">
        <v>3000</v>
      </c>
      <c r="AN24" s="32"/>
      <c r="AO24" s="32">
        <v>4000</v>
      </c>
      <c r="AP24" s="32"/>
      <c r="AQ24" s="32">
        <v>6000</v>
      </c>
      <c r="AR24" s="32"/>
      <c r="AS24" s="32">
        <v>8000</v>
      </c>
      <c r="AT24" s="32"/>
      <c r="AU24" s="22"/>
      <c r="AV24" s="22"/>
      <c r="AW24" s="22"/>
      <c r="AX24" s="22"/>
      <c r="AY24" s="22"/>
      <c r="AZ24" s="22"/>
      <c r="BA24" s="22"/>
      <c r="BB24" s="22"/>
      <c r="BC24" s="22"/>
      <c r="BD24" s="44"/>
      <c r="BE24" s="67"/>
      <c r="BF24" s="67"/>
      <c r="BG24" s="67"/>
      <c r="BH24" s="67"/>
      <c r="BI24" s="67"/>
      <c r="BJ24" s="67"/>
      <c r="BK24" s="22"/>
      <c r="BL24" s="67"/>
      <c r="BM24" s="67"/>
      <c r="BN24" s="22"/>
      <c r="BO24" s="67"/>
      <c r="BP24" s="67"/>
      <c r="BQ24" s="67"/>
      <c r="BR24" s="67"/>
      <c r="BS24" s="67"/>
      <c r="BT24" s="67"/>
      <c r="BU24" s="22"/>
      <c r="BV24" s="67"/>
      <c r="BW24" s="67"/>
      <c r="BX24" s="19"/>
      <c r="BY24" s="67"/>
      <c r="BZ24" s="67"/>
      <c r="CA24" s="67"/>
      <c r="CB24" s="67"/>
      <c r="CC24" s="67"/>
      <c r="CD24" s="67"/>
      <c r="CE24" s="22"/>
      <c r="CF24" s="67"/>
      <c r="CG24" s="67"/>
    </row>
    <row r="25" spans="1:133" x14ac:dyDescent="0.25">
      <c r="A25" t="s">
        <v>2</v>
      </c>
      <c r="B25" s="29">
        <f>ABS(B22-B24)/B24</f>
        <v>0.31125000000000008</v>
      </c>
      <c r="C25" s="33"/>
      <c r="D25" s="29">
        <f>ABS(D22-D24)/D24</f>
        <v>0.54149999999999998</v>
      </c>
      <c r="E25" s="34"/>
      <c r="F25" s="30">
        <f>ABS(F22-F24)/F24</f>
        <v>4.9750000000000051E-2</v>
      </c>
      <c r="G25" s="34"/>
      <c r="H25" s="34"/>
      <c r="I25" s="34"/>
      <c r="J25" s="34"/>
      <c r="L25" s="23"/>
      <c r="M25" s="23"/>
      <c r="N25" s="23"/>
      <c r="O25" s="23"/>
      <c r="P25" s="23"/>
      <c r="Q25" s="23"/>
      <c r="R25" s="38"/>
      <c r="S25" s="38"/>
      <c r="T25" s="19"/>
      <c r="U25" s="19"/>
      <c r="V25" s="19"/>
      <c r="W25" s="19"/>
      <c r="X25" s="45"/>
      <c r="Y25" s="23"/>
      <c r="Z25" s="45"/>
      <c r="AA25" s="38"/>
      <c r="AB25" s="45"/>
      <c r="AC25" s="38"/>
      <c r="AD25" s="38"/>
      <c r="AE25" s="38"/>
      <c r="AF25" s="38"/>
      <c r="AG25" s="38"/>
      <c r="AH25" s="38"/>
      <c r="AI25" s="38"/>
      <c r="AJ25" s="16"/>
      <c r="AK25" s="29">
        <f>ABS(AL22-AK24)/AK24</f>
        <v>0.37939999999999996</v>
      </c>
      <c r="AL25" s="23"/>
      <c r="AM25" s="29">
        <f>ABS(AN22-AM24)/AM24</f>
        <v>0.54853333333333332</v>
      </c>
      <c r="AN25" s="38"/>
      <c r="AO25" s="29">
        <f>ABS(AP22-AO24)/AO24</f>
        <v>0.35009999999999991</v>
      </c>
      <c r="AP25" s="38"/>
      <c r="AQ25" s="30">
        <f>ABS(AR22-AQ24)/AQ24</f>
        <v>0.23800000000000016</v>
      </c>
      <c r="AR25" s="38"/>
      <c r="AS25" s="30">
        <f>ABS(AT22-AS24)/AS24</f>
        <v>0.18449999999999989</v>
      </c>
      <c r="AT25" s="16"/>
      <c r="AU25" s="2"/>
      <c r="AV25" s="2"/>
      <c r="AW25" s="2"/>
      <c r="AX25" s="2"/>
      <c r="AY25" s="49"/>
      <c r="AZ25" s="38"/>
      <c r="BA25" s="38"/>
      <c r="BB25" s="38"/>
      <c r="BC25" s="38"/>
      <c r="BD25" s="16"/>
      <c r="BE25" s="38"/>
      <c r="BF25" s="23"/>
      <c r="BG25" s="23"/>
      <c r="BH25" s="38"/>
      <c r="BI25" s="23"/>
      <c r="BJ25" s="38"/>
      <c r="BK25" s="38"/>
      <c r="BL25" s="38"/>
      <c r="BM25" s="38"/>
      <c r="BN25" s="20"/>
      <c r="BO25" s="23"/>
      <c r="BP25" s="23"/>
      <c r="BQ25" s="23"/>
      <c r="BR25" s="38"/>
      <c r="BS25" s="23"/>
      <c r="BT25" s="38"/>
      <c r="BU25" s="38"/>
      <c r="BV25" s="38"/>
      <c r="BW25" s="38"/>
      <c r="BX25" s="16"/>
      <c r="BY25" s="38"/>
      <c r="BZ25" s="23"/>
      <c r="CA25" s="38"/>
      <c r="CB25" s="38"/>
      <c r="CC25" s="23"/>
      <c r="CD25" s="38"/>
      <c r="CE25" s="38"/>
      <c r="CF25" s="38"/>
      <c r="CG25" s="38"/>
    </row>
    <row r="26" spans="1:133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U26" s="35"/>
      <c r="AY26" s="35"/>
      <c r="AZ26" s="35"/>
      <c r="BA26" s="35"/>
      <c r="BB26" s="35"/>
      <c r="BC26" s="35"/>
      <c r="BD26" s="35"/>
    </row>
    <row r="28" spans="1:133" x14ac:dyDescent="0.25">
      <c r="A28" t="s">
        <v>26</v>
      </c>
    </row>
    <row r="29" spans="1:133" x14ac:dyDescent="0.25">
      <c r="A29" t="s">
        <v>3</v>
      </c>
    </row>
    <row r="30" spans="1:133" x14ac:dyDescent="0.25">
      <c r="A30" t="str">
        <f>"-OR-"</f>
        <v>-OR-</v>
      </c>
    </row>
    <row r="31" spans="1:133" x14ac:dyDescent="0.25">
      <c r="A31" t="s">
        <v>24</v>
      </c>
    </row>
    <row r="32" spans="1:133" x14ac:dyDescent="0.25">
      <c r="A32" t="s">
        <v>25</v>
      </c>
    </row>
    <row r="34" spans="1:24" x14ac:dyDescent="0.25">
      <c r="A34" t="s">
        <v>23</v>
      </c>
    </row>
    <row r="35" spans="1:24" x14ac:dyDescent="0.25">
      <c r="A35" t="s">
        <v>18</v>
      </c>
    </row>
    <row r="37" spans="1:24" x14ac:dyDescent="0.25">
      <c r="A37" t="s">
        <v>19</v>
      </c>
    </row>
    <row r="38" spans="1:24" x14ac:dyDescent="0.25">
      <c r="A38" t="s">
        <v>3</v>
      </c>
    </row>
    <row r="40" spans="1:24" x14ac:dyDescent="0.25">
      <c r="A40" t="s">
        <v>14</v>
      </c>
    </row>
    <row r="41" spans="1:24" x14ac:dyDescent="0.25">
      <c r="A41" t="s">
        <v>4</v>
      </c>
    </row>
    <row r="43" spans="1:24" x14ac:dyDescent="0.25">
      <c r="A43" t="s">
        <v>27</v>
      </c>
    </row>
    <row r="44" spans="1:24" x14ac:dyDescent="0.25">
      <c r="A44" t="s">
        <v>28</v>
      </c>
    </row>
    <row r="45" spans="1:24" x14ac:dyDescent="0.25">
      <c r="A45" t="s">
        <v>29</v>
      </c>
    </row>
    <row r="46" spans="1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</sheetData>
  <pageMargins left="0.7" right="0.7" top="0.75" bottom="0.75" header="0.3" footer="0.3"/>
  <pageSetup orientation="portrait" r:id="rId1"/>
  <ignoredErrors>
    <ignoredError sqref="E22 C2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39997558519241921"/>
  </sheetPr>
  <dimension ref="A1:T13"/>
  <sheetViews>
    <sheetView zoomScale="60" zoomScaleNormal="60" workbookViewId="0">
      <selection activeCell="Y24" sqref="Y24"/>
    </sheetView>
  </sheetViews>
  <sheetFormatPr defaultRowHeight="15" x14ac:dyDescent="0.25"/>
  <cols>
    <col min="1" max="1" width="15.28515625" customWidth="1"/>
    <col min="4" max="4" width="10.28515625" customWidth="1"/>
    <col min="5" max="5" width="10.28515625" bestFit="1" customWidth="1"/>
    <col min="10" max="10" width="12.5703125" customWidth="1"/>
    <col min="11" max="11" width="9.28515625" customWidth="1"/>
  </cols>
  <sheetData>
    <row r="1" spans="1:20" ht="47.25" customHeight="1" x14ac:dyDescent="0.25">
      <c r="A1" s="79" t="s">
        <v>92</v>
      </c>
      <c r="B1" s="82"/>
      <c r="C1" s="76"/>
      <c r="D1" s="76"/>
      <c r="E1" s="76"/>
      <c r="F1" s="76"/>
      <c r="G1" s="76"/>
      <c r="H1" s="76"/>
      <c r="I1" s="76"/>
      <c r="J1" s="259" t="s">
        <v>88</v>
      </c>
      <c r="K1" s="260" t="s">
        <v>349</v>
      </c>
      <c r="L1" s="258"/>
      <c r="M1" s="258"/>
      <c r="N1" s="258"/>
      <c r="O1" s="255" t="s">
        <v>348</v>
      </c>
      <c r="P1" s="256"/>
      <c r="Q1" s="256"/>
      <c r="R1" s="256"/>
      <c r="S1" s="256"/>
    </row>
    <row r="2" spans="1:20" ht="26.25" customHeight="1" x14ac:dyDescent="0.25">
      <c r="A2" s="75" t="s">
        <v>91</v>
      </c>
      <c r="B2" s="77" t="s">
        <v>34</v>
      </c>
      <c r="C2" s="77" t="s">
        <v>35</v>
      </c>
      <c r="D2" s="77" t="s">
        <v>83</v>
      </c>
      <c r="E2" s="77" t="s">
        <v>42</v>
      </c>
      <c r="F2" s="77" t="s">
        <v>43</v>
      </c>
      <c r="G2" s="77" t="s">
        <v>44</v>
      </c>
      <c r="H2" s="77" t="s">
        <v>87</v>
      </c>
      <c r="I2" s="77" t="s">
        <v>41</v>
      </c>
      <c r="J2" s="78">
        <v>500</v>
      </c>
      <c r="K2" s="257">
        <v>1000</v>
      </c>
      <c r="L2" s="257">
        <v>2000</v>
      </c>
      <c r="M2" s="257">
        <v>3000</v>
      </c>
      <c r="N2" s="257">
        <v>4000</v>
      </c>
      <c r="O2" s="78">
        <v>500</v>
      </c>
      <c r="P2" s="78">
        <v>1000</v>
      </c>
      <c r="Q2" s="78">
        <v>2000</v>
      </c>
      <c r="R2" s="78">
        <v>3000</v>
      </c>
      <c r="S2" s="78">
        <v>4000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89">
        <v>0.79</v>
      </c>
      <c r="C4" s="90">
        <v>0.77</v>
      </c>
      <c r="D4" s="90">
        <v>0.75</v>
      </c>
      <c r="E4" s="254">
        <v>0.8</v>
      </c>
      <c r="F4" s="92">
        <v>0.72</v>
      </c>
      <c r="G4" s="92">
        <v>0.8</v>
      </c>
      <c r="H4" s="92">
        <v>0.76</v>
      </c>
      <c r="I4" s="92">
        <v>0.73</v>
      </c>
      <c r="J4" s="93">
        <v>0.84</v>
      </c>
      <c r="K4" s="93">
        <v>0.85</v>
      </c>
      <c r="L4" s="93">
        <v>0.85</v>
      </c>
      <c r="M4" s="93">
        <v>0.8</v>
      </c>
      <c r="N4" s="93">
        <v>0.82</v>
      </c>
      <c r="O4" s="93">
        <v>0.84</v>
      </c>
      <c r="P4" s="93">
        <v>0.82</v>
      </c>
      <c r="Q4" s="93">
        <v>0.84</v>
      </c>
      <c r="R4" s="93">
        <v>0.72</v>
      </c>
      <c r="S4" s="93">
        <v>0.74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90</v>
      </c>
      <c r="B7" s="75"/>
      <c r="C7" s="75"/>
      <c r="D7" s="75"/>
      <c r="E7" s="75"/>
      <c r="F7" s="75"/>
      <c r="G7" s="75"/>
      <c r="H7" s="75"/>
      <c r="I7" s="75"/>
      <c r="J7" s="84"/>
      <c r="K7" s="84"/>
      <c r="L7" s="84"/>
      <c r="M7" s="84"/>
      <c r="N7" s="88"/>
      <c r="O7" s="84"/>
      <c r="P7" s="84"/>
      <c r="Q7" s="84"/>
      <c r="R7" s="84"/>
      <c r="S7" s="88"/>
      <c r="T7" s="16"/>
    </row>
    <row r="8" spans="1:20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60" x14ac:dyDescent="0.25">
      <c r="A10" s="95" t="s">
        <v>96</v>
      </c>
      <c r="B10" s="97" t="s">
        <v>347</v>
      </c>
      <c r="C10" s="253"/>
      <c r="D10" s="76"/>
      <c r="E10" s="76"/>
      <c r="F10" s="74"/>
      <c r="G10" s="74"/>
      <c r="H10" s="74"/>
      <c r="I10" s="74"/>
      <c r="J10" s="75" t="s">
        <v>134</v>
      </c>
      <c r="K10" s="12">
        <v>253.1</v>
      </c>
      <c r="L10" s="12">
        <v>414.5</v>
      </c>
      <c r="M10" s="12">
        <v>748</v>
      </c>
      <c r="N10" s="12">
        <v>905</v>
      </c>
      <c r="O10" s="12">
        <v>2061</v>
      </c>
      <c r="P10" s="16"/>
      <c r="Q10" s="16"/>
      <c r="R10" s="16"/>
    </row>
    <row r="11" spans="1:20" x14ac:dyDescent="0.25">
      <c r="J11" s="81"/>
      <c r="K11" s="75">
        <v>1000</v>
      </c>
      <c r="L11" s="75">
        <v>3000</v>
      </c>
      <c r="M11" s="75">
        <v>4000</v>
      </c>
      <c r="N11" s="75">
        <v>6000</v>
      </c>
      <c r="O11" s="96">
        <v>8000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60" x14ac:dyDescent="0.25">
      <c r="A13" s="95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39997558519241921"/>
  </sheetPr>
  <dimension ref="A2:GU50"/>
  <sheetViews>
    <sheetView topLeftCell="A4" zoomScale="60" zoomScaleNormal="60" zoomScaleSheetLayoutView="40" workbookViewId="0">
      <pane xSplit="1" topLeftCell="Y1" activePane="topRight" state="frozen"/>
      <selection pane="topRight" activeCell="AK12" sqref="AK12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7" width="10.710937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177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t="s">
        <v>178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0.74</v>
      </c>
      <c r="C7" s="29">
        <f>B7/AVERAGE($M7,$N7)</f>
        <v>1.8539396216961043E-2</v>
      </c>
      <c r="D7" s="12">
        <v>1.02</v>
      </c>
      <c r="E7" s="29">
        <f>D7/AVERAGE($M7,$N7)</f>
        <v>2.5554302893649006E-2</v>
      </c>
      <c r="F7" s="12">
        <v>1.33</v>
      </c>
      <c r="G7" s="29">
        <f>F7/AVERAGE($M7,$N7)</f>
        <v>3.332080671426782E-2</v>
      </c>
      <c r="H7" s="33"/>
      <c r="I7" s="12">
        <f>AVERAGE(B7,D7,F7)</f>
        <v>1.03</v>
      </c>
      <c r="J7" s="29">
        <f>STDEV(B7,D7,F7)/I7</f>
        <v>0.28653115657036354</v>
      </c>
      <c r="K7" s="19"/>
      <c r="L7" s="12">
        <v>39.1</v>
      </c>
      <c r="M7" s="12">
        <v>38.409999999999997</v>
      </c>
      <c r="N7" s="12">
        <v>41.42</v>
      </c>
      <c r="O7" s="12">
        <v>39.64</v>
      </c>
      <c r="P7" s="12">
        <v>39.83</v>
      </c>
      <c r="Q7" s="12">
        <v>42.9</v>
      </c>
      <c r="R7" s="53">
        <f>AVERAGE($L7,$O7)</f>
        <v>39.370000000000005</v>
      </c>
      <c r="S7" s="54">
        <f>ABS(L7-O7)/AVERAGE(O7,L7)</f>
        <v>1.371602743205484E-2</v>
      </c>
      <c r="T7" s="38"/>
      <c r="U7" s="38"/>
      <c r="V7" s="16"/>
      <c r="W7" s="12">
        <v>1.1000000000000001</v>
      </c>
      <c r="X7" s="29">
        <f>W7/AVERAGE($M7,$N7)</f>
        <v>2.7558561944131282E-2</v>
      </c>
      <c r="Y7" s="12">
        <v>1.1299999999999999</v>
      </c>
      <c r="Z7" s="29">
        <f>Y7/AVERAGE($M7,$N7)</f>
        <v>2.8310159088062128E-2</v>
      </c>
      <c r="AA7" s="12">
        <v>1.07</v>
      </c>
      <c r="AB7" s="29">
        <f>AA7/AVERAGE($M7,$N7)</f>
        <v>2.6806964800200429E-2</v>
      </c>
      <c r="AC7" s="12">
        <v>1.08</v>
      </c>
      <c r="AD7" s="29">
        <f>AC7/AVERAGE($M7,$N7)</f>
        <v>2.7057497181510713E-2</v>
      </c>
      <c r="AE7" s="12">
        <v>1.1399999999999999</v>
      </c>
      <c r="AF7" s="29">
        <f>AE7/AVERAGE($M7,$N7)</f>
        <v>2.8560691469372415E-2</v>
      </c>
      <c r="AG7" s="16"/>
      <c r="AH7" s="38"/>
      <c r="AI7" s="20"/>
      <c r="AJ7" s="12" t="s">
        <v>159</v>
      </c>
      <c r="AK7" s="29" t="e">
        <f>AJ7*10/AVERAGE($L7,$M7)</f>
        <v>#VALUE!</v>
      </c>
      <c r="AL7" s="12" t="s">
        <v>158</v>
      </c>
      <c r="AM7" s="29" t="e">
        <f>AL7*10/AVERAGE($L7,$M7)</f>
        <v>#VALUE!</v>
      </c>
      <c r="AN7" s="12" t="s">
        <v>159</v>
      </c>
      <c r="AO7" s="29" t="e">
        <f>AN7*10/AVERAGE($L7,$M7)</f>
        <v>#VALUE!</v>
      </c>
      <c r="AP7" s="12" t="s">
        <v>159</v>
      </c>
      <c r="AQ7" s="29" t="e">
        <f>AP7*10/AVERAGE($L7,$M7)</f>
        <v>#VALUE!</v>
      </c>
      <c r="AR7" s="12" t="s">
        <v>159</v>
      </c>
      <c r="AS7" s="29" t="e">
        <f>AR7*20/AVERAGE($L7,$M7)</f>
        <v>#VALUE!</v>
      </c>
      <c r="AT7" s="43"/>
      <c r="AU7" s="12">
        <v>1.21</v>
      </c>
      <c r="AV7" s="29">
        <f>AU7/AVERAGE($L7,$M7)</f>
        <v>3.1221777835118054E-2</v>
      </c>
      <c r="AW7" s="12">
        <v>1.2</v>
      </c>
      <c r="AX7" s="29">
        <f>AW7/AVERAGE($L7,$M7)</f>
        <v>3.0963746613340216E-2</v>
      </c>
      <c r="AY7" s="12">
        <v>1.21</v>
      </c>
      <c r="AZ7" s="29">
        <f>AY7/AVERAGE($L7,$M7)</f>
        <v>3.1221777835118054E-2</v>
      </c>
      <c r="BA7" s="12">
        <v>1.24</v>
      </c>
      <c r="BB7" s="29">
        <f>BA7/AVERAGE($L7,$M7)</f>
        <v>3.1995871500451557E-2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30.52</v>
      </c>
      <c r="C8" s="30">
        <f>B8/AVERAGE($M8,$N8)</f>
        <v>0.7888343241147584</v>
      </c>
      <c r="D8" s="12">
        <v>29.92</v>
      </c>
      <c r="E8" s="30">
        <f>D8/AVERAGE($M8,$N8)</f>
        <v>0.77332644094081171</v>
      </c>
      <c r="F8" s="12">
        <v>29.12</v>
      </c>
      <c r="G8" s="30">
        <f>F8/AVERAGE($M8,$N8)</f>
        <v>0.75264926337554927</v>
      </c>
      <c r="H8" s="34"/>
      <c r="I8" s="12">
        <f>AVERAGE(B8,D8,F8)</f>
        <v>29.853333333333335</v>
      </c>
      <c r="J8" s="30">
        <f>STDEV(B8,D8,F8)/I8</f>
        <v>2.3527587657107475E-2</v>
      </c>
      <c r="K8" s="19"/>
      <c r="L8" s="12">
        <v>40.549999999999997</v>
      </c>
      <c r="M8" s="12">
        <v>40.200000000000003</v>
      </c>
      <c r="N8" s="12">
        <v>37.18</v>
      </c>
      <c r="O8" s="12">
        <v>40.68</v>
      </c>
      <c r="P8" s="12">
        <v>40.74</v>
      </c>
      <c r="Q8" s="12">
        <v>38.07</v>
      </c>
      <c r="R8" s="53">
        <f>AVERAGE($L8,$O8)</f>
        <v>40.614999999999995</v>
      </c>
      <c r="S8" s="54">
        <f>ABS(L8-O8)/AVERAGE(O8,L8)</f>
        <v>3.2007878862489862E-3</v>
      </c>
      <c r="T8" s="38"/>
      <c r="U8" s="38"/>
      <c r="V8" s="16"/>
      <c r="W8" s="12">
        <v>32.409999999999997</v>
      </c>
      <c r="X8" s="30">
        <f>W8/AVERAGE($M8,$N8)</f>
        <v>0.83768415611269054</v>
      </c>
      <c r="Y8" s="12">
        <v>32.99</v>
      </c>
      <c r="Z8" s="30">
        <f>Y8/AVERAGE($M8,$N8)</f>
        <v>0.85267510984750594</v>
      </c>
      <c r="AA8" s="12">
        <v>33</v>
      </c>
      <c r="AB8" s="30">
        <f>AA8/AVERAGE($M8,$N8)</f>
        <v>0.85293357456707164</v>
      </c>
      <c r="AC8" s="12">
        <v>31.02</v>
      </c>
      <c r="AD8" s="30">
        <f>AC8/AVERAGE($M8,$N8)</f>
        <v>0.80175756009304733</v>
      </c>
      <c r="AE8" s="12">
        <v>31.89</v>
      </c>
      <c r="AF8" s="30">
        <f>AE8/AVERAGE($M8,$N8)</f>
        <v>0.82424399069527021</v>
      </c>
      <c r="AG8" s="16"/>
      <c r="AH8" s="23"/>
      <c r="AI8" s="20"/>
      <c r="AJ8" s="12" t="s">
        <v>159</v>
      </c>
      <c r="AK8" s="30" t="e">
        <f>AJ8*10/AVERAGE($L8,$M8)</f>
        <v>#VALUE!</v>
      </c>
      <c r="AL8" s="12" t="s">
        <v>158</v>
      </c>
      <c r="AM8" s="30" t="e">
        <f>AL8*10/AVERAGE($L8,$M8)</f>
        <v>#VALUE!</v>
      </c>
      <c r="AN8" s="12" t="s">
        <v>159</v>
      </c>
      <c r="AO8" s="30" t="e">
        <f>AN8*10/AVERAGE($L8,$M8)</f>
        <v>#VALUE!</v>
      </c>
      <c r="AP8" s="12" t="s">
        <v>159</v>
      </c>
      <c r="AQ8" s="30" t="e">
        <f>AP8*10/AVERAGE($L8,$M8)</f>
        <v>#VALUE!</v>
      </c>
      <c r="AR8" s="12" t="s">
        <v>159</v>
      </c>
      <c r="AS8" s="30" t="e">
        <f>AR8*20/AVERAGE($L8,$M8)</f>
        <v>#VALUE!</v>
      </c>
      <c r="AT8" s="43"/>
      <c r="AU8" s="12">
        <v>30.52</v>
      </c>
      <c r="AV8" s="30">
        <f>AU8/AVERAGE($L8,$M8)</f>
        <v>0.75591331269349848</v>
      </c>
      <c r="AW8" s="12">
        <v>30</v>
      </c>
      <c r="AX8" s="30">
        <f>AW8/AVERAGE($L8,$M8)</f>
        <v>0.74303405572755421</v>
      </c>
      <c r="AY8" s="12">
        <v>30</v>
      </c>
      <c r="AZ8" s="30">
        <f>AY8/AVERAGE($L8,$M8)</f>
        <v>0.74303405572755421</v>
      </c>
      <c r="BA8" s="12">
        <v>29.92</v>
      </c>
      <c r="BB8" s="30">
        <f>BA8/AVERAGE($O8,$P8)</f>
        <v>0.73495455661999509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9.48</v>
      </c>
      <c r="C9" s="30">
        <f>B9/AVERAGE($M9,$N9)</f>
        <v>0.8304862023653089</v>
      </c>
      <c r="D9" s="12">
        <v>8.73</v>
      </c>
      <c r="E9" s="30">
        <f>D9/AVERAGE($M9,$N9)</f>
        <v>0.76478318002628132</v>
      </c>
      <c r="F9" s="12">
        <v>8.3699999999999992</v>
      </c>
      <c r="G9" s="30">
        <f>F9/AVERAGE($M9,$N9)</f>
        <v>0.73324572930354792</v>
      </c>
      <c r="H9" s="34"/>
      <c r="I9" s="12">
        <f>AVERAGE(B9,D9,F9)</f>
        <v>8.86</v>
      </c>
      <c r="J9" s="30">
        <f>STDEV(B9,D9,F9)/I9</f>
        <v>6.3916908057642358E-2</v>
      </c>
      <c r="K9" s="16"/>
      <c r="L9" s="12">
        <v>10.5</v>
      </c>
      <c r="M9" s="12">
        <v>12.93</v>
      </c>
      <c r="N9" s="12">
        <v>9.9</v>
      </c>
      <c r="O9" s="12">
        <v>11.23</v>
      </c>
      <c r="P9" s="12">
        <v>12.6</v>
      </c>
      <c r="Q9" s="12">
        <v>10.87</v>
      </c>
      <c r="R9" s="53">
        <f>AVERAGE($L9,$O9)</f>
        <v>10.865</v>
      </c>
      <c r="S9" s="54">
        <f>ABS(L9-O9)/AVERAGE(O9,L9)</f>
        <v>6.7188219052001882E-2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7.53</v>
      </c>
      <c r="AK9" s="12">
        <f>AJ9/0.5*10</f>
        <v>150.6</v>
      </c>
      <c r="AL9" s="12">
        <v>7.26</v>
      </c>
      <c r="AM9" s="12">
        <f>AL9/0.5*10</f>
        <v>145.19999999999999</v>
      </c>
      <c r="AN9" s="12">
        <v>15.49</v>
      </c>
      <c r="AO9" s="12">
        <f>AN9/0.5*10</f>
        <v>309.8</v>
      </c>
      <c r="AP9" s="12">
        <v>17.73</v>
      </c>
      <c r="AQ9" s="12">
        <f>AP9/0.5*10</f>
        <v>354.6</v>
      </c>
      <c r="AR9" s="12">
        <v>23.63</v>
      </c>
      <c r="AS9" s="12">
        <f>AR9/0.5*20</f>
        <v>945.19999999999993</v>
      </c>
      <c r="AT9" s="45"/>
      <c r="AU9" s="12">
        <v>0.13</v>
      </c>
      <c r="AV9" s="12"/>
      <c r="AW9" s="12">
        <v>0.12</v>
      </c>
      <c r="AX9" s="12"/>
      <c r="AY9" s="12">
        <v>0.13</v>
      </c>
      <c r="AZ9" s="12"/>
      <c r="BA9" s="12" t="s">
        <v>158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20.75</v>
      </c>
      <c r="C10" s="30">
        <f>B10/AVERAGE($M10,$N10)</f>
        <v>0.83216362542610778</v>
      </c>
      <c r="D10" s="12">
        <v>18.510000000000002</v>
      </c>
      <c r="E10" s="30">
        <f>D10/AVERAGE($M10,$N10)</f>
        <v>0.74233005815119313</v>
      </c>
      <c r="F10" s="12">
        <v>18.670000000000002</v>
      </c>
      <c r="G10" s="30">
        <f>F10/AVERAGE($M10,$N10)</f>
        <v>0.74874674152797271</v>
      </c>
      <c r="H10" s="34"/>
      <c r="I10" s="12">
        <f>AVERAGE(B10,D10,F10)</f>
        <v>19.310000000000002</v>
      </c>
      <c r="J10" s="30">
        <f>STDEV(B10,D10,F10)/I10</f>
        <v>6.4714652933457462E-2</v>
      </c>
      <c r="K10" s="16"/>
      <c r="L10" s="12">
        <v>24.08</v>
      </c>
      <c r="M10" s="12">
        <v>28.5</v>
      </c>
      <c r="N10" s="12">
        <v>21.37</v>
      </c>
      <c r="O10" s="12">
        <v>24.85</v>
      </c>
      <c r="P10" s="12">
        <v>27.58</v>
      </c>
      <c r="Q10" s="12">
        <v>23.69</v>
      </c>
      <c r="R10" s="53">
        <f>AVERAGE($L10,$O10)</f>
        <v>24.465</v>
      </c>
      <c r="S10" s="54">
        <f>ABS(L10-O10)/AVERAGE(O10,L10)</f>
        <v>3.1473533619456491E-2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16.649999999999999</v>
      </c>
      <c r="AK10" s="12">
        <f>AJ10/0.5*10</f>
        <v>333</v>
      </c>
      <c r="AL10" s="12">
        <v>16</v>
      </c>
      <c r="AM10" s="12">
        <f>AL10/0.5*10</f>
        <v>320</v>
      </c>
      <c r="AN10" s="12">
        <v>33.94</v>
      </c>
      <c r="AO10" s="12">
        <f>AN10/0.5*10</f>
        <v>678.8</v>
      </c>
      <c r="AP10" s="12">
        <v>39.65</v>
      </c>
      <c r="AQ10" s="12">
        <f>AP10/0.5*10</f>
        <v>793</v>
      </c>
      <c r="AR10" s="12">
        <v>51.11</v>
      </c>
      <c r="AS10" s="12">
        <f>AR10/0.5*20</f>
        <v>2044.4</v>
      </c>
      <c r="AT10" s="45"/>
      <c r="AU10" s="12" t="s">
        <v>168</v>
      </c>
      <c r="AV10" s="12"/>
      <c r="AW10" s="12" t="s">
        <v>168</v>
      </c>
      <c r="AX10" s="12"/>
      <c r="AY10" s="12" t="s">
        <v>168</v>
      </c>
      <c r="AZ10" s="12"/>
      <c r="BA10" s="12" t="s">
        <v>158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30.23</v>
      </c>
      <c r="C11" s="30">
        <f>B11/AVERAGE($M11,$N11)</f>
        <v>0.83163686382393398</v>
      </c>
      <c r="D11" s="52">
        <f>SUM(D$10+D$9)</f>
        <v>27.240000000000002</v>
      </c>
      <c r="E11" s="30">
        <f>D11/AVERAGE($M11,$N11)</f>
        <v>0.74938101788170564</v>
      </c>
      <c r="F11" s="52">
        <f>SUM(F$10+F$9)</f>
        <v>27.04</v>
      </c>
      <c r="G11" s="30">
        <f>F11/AVERAGE($M11,$N11)</f>
        <v>0.74387895460797793</v>
      </c>
      <c r="H11" s="34"/>
      <c r="I11" s="12">
        <f>AVERAGE(B11,D11)</f>
        <v>28.734999999999999</v>
      </c>
      <c r="J11" s="30">
        <f>STDEV(B11,D11,F11)/I11</f>
        <v>6.2182453626889449E-2</v>
      </c>
      <c r="K11" s="19"/>
      <c r="L11" s="136">
        <f t="shared" ref="L11:Q11" si="0">SUM(L9,L10)</f>
        <v>34.58</v>
      </c>
      <c r="M11" s="52">
        <f t="shared" si="0"/>
        <v>41.43</v>
      </c>
      <c r="N11" s="12">
        <f t="shared" si="0"/>
        <v>31.270000000000003</v>
      </c>
      <c r="O11" s="12">
        <f t="shared" si="0"/>
        <v>36.08</v>
      </c>
      <c r="P11" s="52">
        <f t="shared" si="0"/>
        <v>40.18</v>
      </c>
      <c r="Q11" s="52">
        <f t="shared" si="0"/>
        <v>34.56</v>
      </c>
      <c r="R11" s="53">
        <f>AVERAGE($L11,$O11)</f>
        <v>35.33</v>
      </c>
      <c r="S11" s="54">
        <f>ABS(L11-O11)/AVERAGE(O11,L11)</f>
        <v>4.2456835550523639E-2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2">
        <f>SUM(AJ9,AJ10)</f>
        <v>24.18</v>
      </c>
      <c r="AK11" s="12">
        <f>AJ11/0.5*10</f>
        <v>483.6</v>
      </c>
      <c r="AL11" s="13">
        <f>SUM(AL9,AL10)</f>
        <v>23.259999999999998</v>
      </c>
      <c r="AM11" s="12">
        <f>AL11/0.5*10</f>
        <v>465.19999999999993</v>
      </c>
      <c r="AN11" s="13">
        <f>SUM(AN9,AN10)</f>
        <v>49.43</v>
      </c>
      <c r="AO11" s="12">
        <f>AN11/0.5*10</f>
        <v>988.6</v>
      </c>
      <c r="AP11" s="13">
        <f>SUM(AP9,AP10)</f>
        <v>57.379999999999995</v>
      </c>
      <c r="AQ11" s="12">
        <f>AP11/0.5*10</f>
        <v>1147.5999999999999</v>
      </c>
      <c r="AR11" s="13">
        <f>SUM(AR9,AR10)</f>
        <v>74.739999999999995</v>
      </c>
      <c r="AS11" s="12">
        <f>AR11/0.5*20</f>
        <v>2989.6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55">
        <f t="shared" ref="L12:R12" si="1">(L7+L8+L11)/3</f>
        <v>38.076666666666668</v>
      </c>
      <c r="M12" s="55">
        <f t="shared" si="1"/>
        <v>40.013333333333328</v>
      </c>
      <c r="N12" s="55">
        <f t="shared" si="1"/>
        <v>36.623333333333335</v>
      </c>
      <c r="O12" s="55">
        <f t="shared" si="1"/>
        <v>38.799999999999997</v>
      </c>
      <c r="P12" s="55">
        <f t="shared" si="1"/>
        <v>40.25</v>
      </c>
      <c r="Q12" s="55">
        <f t="shared" si="1"/>
        <v>38.51</v>
      </c>
      <c r="R12" s="55">
        <f t="shared" si="1"/>
        <v>38.438333333333333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12">
        <v>13.07</v>
      </c>
      <c r="AK12" s="69">
        <f>AK11/AJ13</f>
        <v>0.96720000000000006</v>
      </c>
      <c r="AL12" s="31"/>
      <c r="AM12" s="69">
        <f>AM11/AL13</f>
        <v>0.46519999999999995</v>
      </c>
      <c r="AN12" s="31"/>
      <c r="AO12" s="69">
        <f>AO11/AN13</f>
        <v>0.49430000000000002</v>
      </c>
      <c r="AP12" s="31"/>
      <c r="AQ12" s="69">
        <f>AQ11/AP13</f>
        <v>0.38253333333333328</v>
      </c>
      <c r="AR12" s="31"/>
      <c r="AS12" s="69">
        <f>AS11/AR13</f>
        <v>0.74739999999999995</v>
      </c>
      <c r="AT12" s="2">
        <f>AVERAGE(AK12,AM12,AO12,AQ12,AS12)</f>
        <v>0.61132666666666657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30">
        <f>ABS(B11-B13)/B13</f>
        <v>0.24424999999999999</v>
      </c>
      <c r="C14" s="33"/>
      <c r="D14" s="98">
        <f>ABS(D11-D13)/D13</f>
        <v>0.31899999999999995</v>
      </c>
      <c r="E14" s="34"/>
      <c r="F14" s="98">
        <f>ABS(F11-F13)/F13</f>
        <v>0.32400000000000001</v>
      </c>
      <c r="G14" s="34"/>
      <c r="H14" s="34"/>
      <c r="I14" s="34"/>
      <c r="J14" s="34"/>
      <c r="K14" s="38"/>
      <c r="L14" s="30">
        <f t="shared" ref="L14:R14" si="2">(L12-L13)/L13</f>
        <v>-4.8083333333333297E-2</v>
      </c>
      <c r="M14" s="30">
        <f t="shared" si="2"/>
        <v>3.3333333333320783E-4</v>
      </c>
      <c r="N14" s="30">
        <f t="shared" si="2"/>
        <v>-8.4416666666666626E-2</v>
      </c>
      <c r="O14" s="30">
        <f t="shared" si="2"/>
        <v>-3.0000000000000072E-2</v>
      </c>
      <c r="P14" s="30">
        <f t="shared" si="2"/>
        <v>6.2500000000000003E-3</v>
      </c>
      <c r="Q14" s="30">
        <f t="shared" si="2"/>
        <v>-3.7250000000000047E-2</v>
      </c>
      <c r="R14" s="30">
        <f t="shared" si="2"/>
        <v>-3.9041666666666683E-2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72">
        <f>ABS(AK11-AJ13)/AJ13</f>
        <v>3.2799999999999954E-2</v>
      </c>
      <c r="AK14" s="61"/>
      <c r="AL14" s="100">
        <f>ABS(AM11-AL13)/AL13</f>
        <v>0.53480000000000005</v>
      </c>
      <c r="AM14" s="62"/>
      <c r="AN14" s="100">
        <f>ABS(AO11-AN13)/AN13</f>
        <v>0.50570000000000004</v>
      </c>
      <c r="AO14" s="62"/>
      <c r="AP14" s="100">
        <f>ABS(AQ11-AP13)/AP13</f>
        <v>0.61746666666666672</v>
      </c>
      <c r="AQ14" s="62"/>
      <c r="AR14" s="100">
        <f>ABS(AS11-AR13)/AR13</f>
        <v>0.25260000000000005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0.84112351442228861</v>
      </c>
      <c r="X15" s="71"/>
      <c r="Y15" s="30">
        <f>AVERAGE(Z8,Z19)</f>
        <v>0.83859488267403848</v>
      </c>
      <c r="Z15" s="71"/>
      <c r="AA15" s="30">
        <f>AVERAGE(AB8,AB19)</f>
        <v>0.84798689894449253</v>
      </c>
      <c r="AB15" s="71"/>
      <c r="AC15" s="30">
        <f>AVERAGE(AD8,AD19)</f>
        <v>0.7682179502025952</v>
      </c>
      <c r="AD15" s="71"/>
      <c r="AE15" s="30">
        <f>AVERAGE(AF8,AF19)</f>
        <v>0.78060315256118673</v>
      </c>
      <c r="AF15" s="16"/>
      <c r="AG15" s="16"/>
      <c r="AH15" s="16"/>
      <c r="AI15" s="68" t="s">
        <v>129</v>
      </c>
      <c r="AJ15" s="103">
        <f>AVERAGE(AK11,AK22)</f>
        <v>253.10000000000002</v>
      </c>
      <c r="AK15" s="71"/>
      <c r="AL15" s="103">
        <f>AVERAGE(AM11,AM22)</f>
        <v>414.49999999999994</v>
      </c>
      <c r="AM15" s="71"/>
      <c r="AN15" s="103">
        <f>AVERAGE(AO22,AO11)</f>
        <v>748</v>
      </c>
      <c r="AO15" s="71"/>
      <c r="AP15" s="103">
        <f>AVERAGE(AQ11,AQ22)</f>
        <v>905.9</v>
      </c>
      <c r="AQ15" s="71"/>
      <c r="AR15" s="103">
        <f>AVERAGE(AS11,AS22)</f>
        <v>2061.8000000000002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>
        <v>0.95</v>
      </c>
      <c r="C18" s="29">
        <f>B18/AVERAGE($Q7,$P7)</f>
        <v>2.2966275837060318E-2</v>
      </c>
      <c r="D18" s="12">
        <v>1.03</v>
      </c>
      <c r="E18" s="29">
        <f>D18/AVERAGE($Q7,$P7)</f>
        <v>2.490027801281277E-2</v>
      </c>
      <c r="F18" s="12">
        <v>1.1000000000000001</v>
      </c>
      <c r="G18" s="29">
        <f>F18/AVERAGE($Q7,$P7)</f>
        <v>2.659252991659616E-2</v>
      </c>
      <c r="H18" s="33"/>
      <c r="I18" s="12">
        <f>AVERAGE(D18,F18)</f>
        <v>1.0649999999999999</v>
      </c>
      <c r="J18" s="30">
        <f>STDEV(D18,F18)/I18</f>
        <v>4.6476502049820068E-2</v>
      </c>
      <c r="K18" s="1"/>
      <c r="L18" s="58"/>
      <c r="M18" s="58"/>
      <c r="N18" s="58"/>
      <c r="O18" s="58"/>
      <c r="P18" s="58"/>
      <c r="Q18" s="1"/>
      <c r="S18" s="38"/>
      <c r="T18" s="38"/>
      <c r="U18" s="38"/>
      <c r="V18" s="16"/>
      <c r="W18" s="12">
        <v>1.34</v>
      </c>
      <c r="X18" s="29">
        <f>W18/AVERAGE($Q7,$P7)</f>
        <v>3.2394536443853504E-2</v>
      </c>
      <c r="Y18" s="12">
        <v>1.25</v>
      </c>
      <c r="Z18" s="29">
        <f>Y18/AVERAGE($Q7,$P7)</f>
        <v>3.0218783996131999E-2</v>
      </c>
      <c r="AA18" s="12">
        <v>1.56</v>
      </c>
      <c r="AB18" s="29">
        <f>AA18/AVERAGE($Q7,$P7)</f>
        <v>3.7713042427172737E-2</v>
      </c>
      <c r="AC18" s="12">
        <v>1.22</v>
      </c>
      <c r="AD18" s="29">
        <f>AC18/AVERAGE($Q7,$P7)</f>
        <v>2.949353318022483E-2</v>
      </c>
      <c r="AE18" s="12">
        <v>1.29</v>
      </c>
      <c r="AF18" s="29">
        <f>AE18/AVERAGE($Q7,$P7)</f>
        <v>3.1185785084008225E-2</v>
      </c>
      <c r="AG18" s="16"/>
      <c r="AH18" s="38"/>
      <c r="AI18" s="20"/>
      <c r="AJ18" s="12" t="s">
        <v>159</v>
      </c>
      <c r="AK18" s="29" t="e">
        <f>AJ18*10/AVERAGE($L$7,$M$7)</f>
        <v>#VALUE!</v>
      </c>
      <c r="AL18" s="12" t="s">
        <v>159</v>
      </c>
      <c r="AM18" s="29" t="e">
        <f>AL18*10/AVERAGE($L$7,$M$7)</f>
        <v>#VALUE!</v>
      </c>
      <c r="AN18" s="12" t="s">
        <v>159</v>
      </c>
      <c r="AO18" s="29" t="e">
        <f>AN18*10/AVERAGE($L$7,$M$7)</f>
        <v>#VALUE!</v>
      </c>
      <c r="AP18" s="12" t="s">
        <v>159</v>
      </c>
      <c r="AQ18" s="29" t="e">
        <f>AP18*10/AVERAGE($L$7,$M$7)</f>
        <v>#VALUE!</v>
      </c>
      <c r="AR18" s="12" t="s">
        <v>158</v>
      </c>
      <c r="AS18" s="29" t="e">
        <f>AR18*10/AVERAGE($L$7,$M$7)</f>
        <v>#VALUE!</v>
      </c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31.64</v>
      </c>
      <c r="C19" s="30">
        <f>B19/AVERAGE($Q8,$P8)</f>
        <v>0.80294378885928186</v>
      </c>
      <c r="D19" s="12">
        <v>28.5</v>
      </c>
      <c r="E19" s="30">
        <f>D19/AVERAGE($Q8,$P8)</f>
        <v>0.72325846973734298</v>
      </c>
      <c r="F19" s="12">
        <v>31.58</v>
      </c>
      <c r="G19" s="30">
        <f>F19/AVERAGE($Q8,$P8)</f>
        <v>0.80142113944930837</v>
      </c>
      <c r="H19" s="34"/>
      <c r="I19" s="12">
        <f>AVERAGE(D19,F19)</f>
        <v>30.04</v>
      </c>
      <c r="J19" s="30">
        <f>STDEV(D19,F19)/I19</f>
        <v>7.2499630028447573E-2</v>
      </c>
      <c r="K19" s="11"/>
      <c r="L19" s="58"/>
      <c r="M19" s="58"/>
      <c r="N19" s="58"/>
      <c r="O19" s="58"/>
      <c r="P19" s="58"/>
      <c r="S19" s="38"/>
      <c r="T19" s="38"/>
      <c r="U19" s="38"/>
      <c r="V19" s="16"/>
      <c r="W19" s="12">
        <v>33.28</v>
      </c>
      <c r="X19" s="30">
        <f>W19/AVERAGE($Q8,$P8)</f>
        <v>0.84456287273188679</v>
      </c>
      <c r="Y19" s="12">
        <v>32.49</v>
      </c>
      <c r="Z19" s="30">
        <f>Y19/AVERAGE($Q8,$P8)</f>
        <v>0.82451465550057101</v>
      </c>
      <c r="AA19" s="12">
        <v>33.22</v>
      </c>
      <c r="AB19" s="30">
        <f>AA19/AVERAGE($Q8,$P8)</f>
        <v>0.84304022332191342</v>
      </c>
      <c r="AC19" s="12">
        <v>28.95</v>
      </c>
      <c r="AD19" s="30">
        <f>AC19/AVERAGE($Q8,$P8)</f>
        <v>0.73467834031214307</v>
      </c>
      <c r="AE19" s="12">
        <v>29.04</v>
      </c>
      <c r="AF19" s="30">
        <f>AE19/AVERAGE($Q8,$P8)</f>
        <v>0.73696231442710314</v>
      </c>
      <c r="AG19" s="16"/>
      <c r="AH19" s="23"/>
      <c r="AI19" s="20"/>
      <c r="AJ19" s="12" t="s">
        <v>159</v>
      </c>
      <c r="AK19" s="30" t="e">
        <f>AJ19*10/AVERAGE($L$8,$M$8)</f>
        <v>#VALUE!</v>
      </c>
      <c r="AL19" s="12" t="s">
        <v>159</v>
      </c>
      <c r="AM19" s="30" t="e">
        <f>AL19*10/AVERAGE($L$8,$M$8)</f>
        <v>#VALUE!</v>
      </c>
      <c r="AN19" s="12" t="s">
        <v>159</v>
      </c>
      <c r="AO19" s="30" t="e">
        <f>AN19*10/AVERAGE($L$8,$M$8)</f>
        <v>#VALUE!</v>
      </c>
      <c r="AP19" s="12" t="s">
        <v>159</v>
      </c>
      <c r="AQ19" s="30" t="e">
        <f>AP19*10/AVERAGE($L$8,$M$8)</f>
        <v>#VALUE!</v>
      </c>
      <c r="AR19" s="12" t="s">
        <v>158</v>
      </c>
      <c r="AS19" s="30" t="e">
        <f>AR19*20/AVERAGE($L$8,$M$8)</f>
        <v>#VALUE!</v>
      </c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8.76</v>
      </c>
      <c r="C20" s="30">
        <f>B20/AVERAGE($Q9,$P9)</f>
        <v>0.74648487430762678</v>
      </c>
      <c r="D20" s="12">
        <v>8.85</v>
      </c>
      <c r="E20" s="30">
        <f>D20/AVERAGE($Q9,$P9)</f>
        <v>0.7541542394546229</v>
      </c>
      <c r="F20" s="12">
        <v>8.9</v>
      </c>
      <c r="G20" s="30">
        <f>F20/AVERAGE($Q9,$P9)</f>
        <v>0.75841499786962085</v>
      </c>
      <c r="H20" s="34"/>
      <c r="I20" s="12">
        <f>AVERAGE(D20,F20)</f>
        <v>8.875</v>
      </c>
      <c r="J20" s="30">
        <f>STDEV(D20,F20)/I20</f>
        <v>3.9837001756989161E-3</v>
      </c>
      <c r="L20" s="58"/>
      <c r="M20" s="58"/>
      <c r="N20" s="58"/>
      <c r="O20" s="58"/>
      <c r="P20" s="58"/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1.1299999999999999</v>
      </c>
      <c r="AK20" s="12">
        <f>AJ20/0.5*10</f>
        <v>22.599999999999998</v>
      </c>
      <c r="AL20" s="12">
        <v>8.09</v>
      </c>
      <c r="AM20" s="12">
        <f>AL20/0.5*10</f>
        <v>161.80000000000001</v>
      </c>
      <c r="AN20" s="12">
        <v>12.11</v>
      </c>
      <c r="AO20" s="12">
        <f>AN20/0.5*10</f>
        <v>242.2</v>
      </c>
      <c r="AP20" s="12">
        <v>13.07</v>
      </c>
      <c r="AQ20" s="12">
        <f>AP20/0.5*10</f>
        <v>261.39999999999998</v>
      </c>
      <c r="AR20" s="12">
        <v>11.97</v>
      </c>
      <c r="AS20" s="12">
        <f>AR20/0.5*20</f>
        <v>478.8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18.46</v>
      </c>
      <c r="C21" s="30">
        <f>B21/AVERAGE($Q10,$P10)</f>
        <v>0.72010922566803204</v>
      </c>
      <c r="D21" s="12">
        <v>18.59</v>
      </c>
      <c r="E21" s="30">
        <f>D21/AVERAGE($Q10,$P10)</f>
        <v>0.72518041739808858</v>
      </c>
      <c r="F21" s="12">
        <v>19.010000000000002</v>
      </c>
      <c r="G21" s="30">
        <f>F21/AVERAGE($Q10,$P10)</f>
        <v>0.74156426760288685</v>
      </c>
      <c r="H21" s="34"/>
      <c r="I21" s="12">
        <f>AVERAGE(D21,F21)</f>
        <v>18.8</v>
      </c>
      <c r="J21" s="30">
        <f>STDEV(D21,F21)/I21</f>
        <v>1.5797066388210167E-2</v>
      </c>
      <c r="L21" s="58"/>
      <c r="M21" s="58"/>
      <c r="N21" s="58"/>
      <c r="O21" s="58"/>
      <c r="P21" s="58"/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 t="s">
        <v>168</v>
      </c>
      <c r="AK21" s="12" t="e">
        <f>AJ21/0.5*10</f>
        <v>#VALUE!</v>
      </c>
      <c r="AL21" s="12">
        <v>10.1</v>
      </c>
      <c r="AM21" s="12">
        <f>AL21/0.5*10</f>
        <v>202</v>
      </c>
      <c r="AN21" s="12">
        <v>13.26</v>
      </c>
      <c r="AO21" s="12">
        <f>AN21/0.5*10</f>
        <v>265.2</v>
      </c>
      <c r="AP21" s="12">
        <v>20.14</v>
      </c>
      <c r="AQ21" s="12">
        <f>AP21/0.5*10</f>
        <v>402.8</v>
      </c>
      <c r="AR21" s="12">
        <v>16.38</v>
      </c>
      <c r="AS21" s="12">
        <f>AR21/0.5*20</f>
        <v>655.19999999999993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13">
        <f>B20+B21</f>
        <v>27.22</v>
      </c>
      <c r="C22" s="30">
        <f>B22/AVERAGE($Q11,$P11)</f>
        <v>0.72839175809472823</v>
      </c>
      <c r="D22" s="52">
        <f>SUM(D$21+D$20)</f>
        <v>27.439999999999998</v>
      </c>
      <c r="E22" s="30">
        <f>D22/AVERAGE($Q11,$P11)</f>
        <v>0.73427883328873411</v>
      </c>
      <c r="F22" s="13">
        <f>F20+F21</f>
        <v>27.910000000000004</v>
      </c>
      <c r="G22" s="30">
        <f>F22/AVERAGE($Q11,$P11)</f>
        <v>0.74685576665774689</v>
      </c>
      <c r="H22" s="34"/>
      <c r="I22" s="12">
        <f>AVERAGE(D22,F22)</f>
        <v>27.675000000000001</v>
      </c>
      <c r="J22" s="30">
        <f>STDEV(D22,F22)/I22</f>
        <v>1.2008678849419387E-2</v>
      </c>
      <c r="L22" s="58"/>
      <c r="M22" s="58"/>
      <c r="N22" s="58"/>
      <c r="O22" s="58"/>
      <c r="P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3">
        <f>SUM(AJ20,AJ21)</f>
        <v>1.1299999999999999</v>
      </c>
      <c r="AK22">
        <f>AJ22/0.5*10</f>
        <v>22.599999999999998</v>
      </c>
      <c r="AL22" s="13">
        <f>SUM(AL20,AL21)</f>
        <v>18.189999999999998</v>
      </c>
      <c r="AM22" s="12">
        <f>AL22/0.5*10</f>
        <v>363.79999999999995</v>
      </c>
      <c r="AN22" s="13">
        <f>SUM(AN20,AN21)</f>
        <v>25.369999999999997</v>
      </c>
      <c r="AO22" s="12">
        <f>AN22/0.5*10</f>
        <v>507.4</v>
      </c>
      <c r="AP22" s="13">
        <f>SUM(AP20,AP21)</f>
        <v>33.21</v>
      </c>
      <c r="AQ22" s="12">
        <f>AP22/0.5*10</f>
        <v>664.2</v>
      </c>
      <c r="AR22" s="13">
        <f>SUM(AR20,AR21)</f>
        <v>28.35</v>
      </c>
      <c r="AS22" s="12">
        <f>AR22/0.5*20</f>
        <v>1134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99">
        <f>AK22/AJ24</f>
        <v>4.5199999999999997E-2</v>
      </c>
      <c r="AL23" s="31"/>
      <c r="AM23" s="99">
        <f>AM22/AL24</f>
        <v>0.36379999999999996</v>
      </c>
      <c r="AN23" s="31"/>
      <c r="AO23" s="99">
        <f>AO22/AN24</f>
        <v>0.25369999999999998</v>
      </c>
      <c r="AP23" s="31"/>
      <c r="AQ23" s="99">
        <f>AQ22/AP24</f>
        <v>0.22140000000000001</v>
      </c>
      <c r="AR23" s="31"/>
      <c r="AS23" s="99">
        <f>AS22/AR24</f>
        <v>0.28349999999999997</v>
      </c>
      <c r="AT23" s="2">
        <f>AVERAGE(AK23,AM23,AO23,AQ23,AS23)</f>
        <v>0.23352000000000001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98">
        <f>ABS(B22-B24)/B24</f>
        <v>0.31950000000000001</v>
      </c>
      <c r="C25" s="33"/>
      <c r="D25" s="98">
        <f>ABS(D22-D24)/D24</f>
        <v>0.31400000000000006</v>
      </c>
      <c r="E25" s="34"/>
      <c r="F25" s="98">
        <f>ABS(F22-F24)/F24</f>
        <v>0.30224999999999991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29">
        <f>ABS(AK22-AJ24)/AJ24</f>
        <v>0.95479999999999998</v>
      </c>
      <c r="AK25" s="23"/>
      <c r="AL25" s="29">
        <f>ABS(AM22-AL24)/AL24</f>
        <v>0.6362000000000001</v>
      </c>
      <c r="AM25" s="38"/>
      <c r="AN25" s="29">
        <f>ABS(AO22-AN24)/AN24</f>
        <v>0.74629999999999996</v>
      </c>
      <c r="AO25" s="38"/>
      <c r="AP25" s="29">
        <f>ABS(AQ22-AP24)/AP24</f>
        <v>0.77860000000000007</v>
      </c>
      <c r="AQ25" s="38"/>
      <c r="AR25" s="29">
        <f>ABS(AS22-AR24)/AR24</f>
        <v>0.71650000000000003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T26" s="35"/>
      <c r="AX26" s="35"/>
      <c r="AY26" s="35"/>
      <c r="AZ26" s="35"/>
      <c r="BA26" s="35"/>
      <c r="BB26" s="35"/>
      <c r="BC26" s="35"/>
    </row>
    <row r="27" spans="1:132" x14ac:dyDescent="0.25"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132" x14ac:dyDescent="0.25">
      <c r="A29" t="s">
        <v>3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132" x14ac:dyDescent="0.25">
      <c r="A31" t="s">
        <v>24</v>
      </c>
      <c r="V31" s="16"/>
      <c r="W31" s="17"/>
      <c r="X31" s="18"/>
      <c r="Y31" s="60"/>
      <c r="Z31" s="18"/>
      <c r="AA31" s="60"/>
      <c r="AB31" s="18"/>
      <c r="AC31" s="60"/>
      <c r="AD31" s="18"/>
      <c r="AE31" s="60"/>
      <c r="AF31" s="18"/>
      <c r="AG31" s="16"/>
    </row>
    <row r="32" spans="1:132" x14ac:dyDescent="0.25">
      <c r="A32" t="s">
        <v>25</v>
      </c>
      <c r="V32" s="16"/>
      <c r="W32" s="16"/>
      <c r="X32" s="23"/>
      <c r="Y32" s="16"/>
      <c r="Z32" s="23"/>
      <c r="AA32" s="16"/>
      <c r="AB32" s="23"/>
      <c r="AC32" s="16"/>
      <c r="AD32" s="23"/>
      <c r="AE32" s="16"/>
      <c r="AF32" s="23"/>
      <c r="AG32" s="16"/>
    </row>
    <row r="33" spans="1:33" x14ac:dyDescent="0.25">
      <c r="V33" s="16"/>
      <c r="W33" s="16"/>
      <c r="X33" s="38"/>
      <c r="Y33" s="16"/>
      <c r="Z33" s="38"/>
      <c r="AA33" s="16"/>
      <c r="AB33" s="38"/>
      <c r="AC33" s="16"/>
      <c r="AD33" s="23"/>
      <c r="AE33" s="16"/>
      <c r="AF33" s="23"/>
      <c r="AG33" s="16"/>
    </row>
    <row r="34" spans="1:33" x14ac:dyDescent="0.25">
      <c r="A34" t="s">
        <v>23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x14ac:dyDescent="0.25">
      <c r="A35" t="s">
        <v>18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x14ac:dyDescent="0.25">
      <c r="V36" s="16"/>
      <c r="W36" s="19"/>
      <c r="X36" s="16"/>
      <c r="Y36" s="19"/>
      <c r="Z36" s="16"/>
      <c r="AA36" s="19"/>
      <c r="AB36" s="16"/>
      <c r="AC36" s="19"/>
      <c r="AD36" s="16"/>
      <c r="AE36" s="19"/>
      <c r="AF36" s="16"/>
      <c r="AG36" s="16"/>
    </row>
    <row r="37" spans="1:33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1:33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33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</row>
    <row r="40" spans="1:33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33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</row>
    <row r="43" spans="1:33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</row>
    <row r="44" spans="1:33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</row>
    <row r="45" spans="1:33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</row>
    <row r="49" spans="22:33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</row>
    <row r="50" spans="22:33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  <ignoredErrors>
    <ignoredError sqref="AP11:AQ11 AN11:AO11 AL11:AM11 F22 D22 D11:F11 C11 AK11 AN22:AP22 AK22:AL22 AM22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39997558519241921"/>
  </sheetPr>
  <dimension ref="A1:T13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4" max="4" width="10.28515625" customWidth="1"/>
    <col min="10" max="10" width="12.5703125" customWidth="1"/>
    <col min="11" max="11" width="9.28515625" customWidth="1"/>
  </cols>
  <sheetData>
    <row r="1" spans="1:20" ht="47.25" customHeight="1" x14ac:dyDescent="0.25">
      <c r="A1" s="79" t="s">
        <v>92</v>
      </c>
      <c r="B1" s="82"/>
      <c r="C1" s="76"/>
      <c r="D1" s="76"/>
      <c r="E1" s="76"/>
      <c r="F1" s="76"/>
      <c r="G1" s="76"/>
      <c r="H1" s="76"/>
      <c r="I1" s="76"/>
      <c r="J1" s="80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77" t="s">
        <v>34</v>
      </c>
      <c r="C2" s="77" t="s">
        <v>35</v>
      </c>
      <c r="D2" s="77" t="s">
        <v>83</v>
      </c>
      <c r="E2" s="77" t="s">
        <v>42</v>
      </c>
      <c r="F2" s="77" t="s">
        <v>43</v>
      </c>
      <c r="G2" s="77" t="s">
        <v>44</v>
      </c>
      <c r="H2" s="77" t="s">
        <v>87</v>
      </c>
      <c r="I2" s="77" t="s">
        <v>41</v>
      </c>
      <c r="J2" s="78" t="s">
        <v>36</v>
      </c>
      <c r="K2" s="78" t="s">
        <v>37</v>
      </c>
      <c r="L2" s="78" t="s">
        <v>84</v>
      </c>
      <c r="M2" s="78" t="s">
        <v>85</v>
      </c>
      <c r="N2" s="78" t="s">
        <v>86</v>
      </c>
      <c r="O2" s="78" t="s">
        <v>38</v>
      </c>
      <c r="P2" s="78" t="s">
        <v>39</v>
      </c>
      <c r="Q2" s="78" t="s">
        <v>93</v>
      </c>
      <c r="R2" s="78" t="s">
        <v>94</v>
      </c>
      <c r="S2" s="78" t="s">
        <v>40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89">
        <v>0.89</v>
      </c>
      <c r="C4" s="90">
        <v>0.89</v>
      </c>
      <c r="D4" s="90">
        <v>0.94</v>
      </c>
      <c r="F4" s="92">
        <v>0.83</v>
      </c>
      <c r="G4" s="92">
        <v>0.92</v>
      </c>
      <c r="H4" s="92">
        <v>0.78</v>
      </c>
      <c r="I4" s="92">
        <v>0.94</v>
      </c>
      <c r="J4" s="93">
        <v>0.92</v>
      </c>
      <c r="K4" s="93">
        <v>0.99</v>
      </c>
      <c r="L4" s="93">
        <v>0.9</v>
      </c>
      <c r="M4" s="93">
        <v>0.9</v>
      </c>
      <c r="N4" s="93">
        <v>0.79</v>
      </c>
      <c r="O4" s="93">
        <v>0.89</v>
      </c>
      <c r="P4" s="93">
        <v>0.82</v>
      </c>
      <c r="Q4" s="93">
        <v>0.97</v>
      </c>
      <c r="R4" s="93">
        <v>0.98</v>
      </c>
      <c r="S4" s="93">
        <v>0.91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90</v>
      </c>
      <c r="B7" s="75"/>
      <c r="C7" s="75"/>
      <c r="D7" s="75"/>
      <c r="E7" s="75"/>
      <c r="F7" s="75"/>
      <c r="G7" s="75"/>
      <c r="H7" s="75"/>
      <c r="I7" s="75"/>
      <c r="J7" s="84"/>
      <c r="K7" s="84"/>
      <c r="L7" s="84"/>
      <c r="M7" s="84"/>
      <c r="N7" s="88"/>
      <c r="O7" s="84"/>
      <c r="P7" s="84"/>
      <c r="Q7" s="84"/>
      <c r="R7" s="84"/>
      <c r="S7" s="88"/>
      <c r="T7" s="16"/>
    </row>
    <row r="8" spans="1:20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60" x14ac:dyDescent="0.25">
      <c r="A10" s="95" t="s">
        <v>96</v>
      </c>
      <c r="B10" s="97" t="s">
        <v>130</v>
      </c>
      <c r="C10" s="253"/>
      <c r="D10" s="76"/>
      <c r="E10" s="76"/>
      <c r="F10" s="74"/>
      <c r="G10" s="74"/>
      <c r="H10" s="74"/>
      <c r="I10" s="74"/>
      <c r="J10" s="75" t="s">
        <v>134</v>
      </c>
      <c r="K10" s="12">
        <v>713.39999999999986</v>
      </c>
      <c r="L10" s="12">
        <v>2290.4</v>
      </c>
      <c r="M10" s="12">
        <v>2972.2</v>
      </c>
      <c r="N10" s="12">
        <v>4289.6000000000004</v>
      </c>
      <c r="O10" s="12">
        <v>6119</v>
      </c>
      <c r="P10" s="16"/>
      <c r="Q10" s="16"/>
      <c r="R10" s="16"/>
    </row>
    <row r="11" spans="1:20" x14ac:dyDescent="0.25">
      <c r="J11" s="81"/>
      <c r="K11" s="75">
        <v>1000</v>
      </c>
      <c r="L11" s="75">
        <v>3000</v>
      </c>
      <c r="M11" s="75">
        <v>4000</v>
      </c>
      <c r="N11" s="75">
        <v>6000</v>
      </c>
      <c r="O11" s="96">
        <v>8000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60" x14ac:dyDescent="0.25">
      <c r="A13" s="95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39997558519241921"/>
  </sheetPr>
  <dimension ref="A2:GV47"/>
  <sheetViews>
    <sheetView topLeftCell="A4" zoomScale="60" zoomScaleNormal="60" zoomScaleSheetLayoutView="40" workbookViewId="0">
      <pane xSplit="1" topLeftCell="AI1" activePane="topRight" state="frozen"/>
      <selection pane="topRight" activeCell="AV29" sqref="AV29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8" width="10.7109375" customWidth="1"/>
    <col min="19" max="19" width="11.7109375" customWidth="1"/>
    <col min="21" max="21" width="11.5703125" customWidth="1"/>
    <col min="23" max="23" width="13.5703125" customWidth="1"/>
    <col min="25" max="25" width="9.42578125" customWidth="1"/>
    <col min="26" max="26" width="9.85546875" customWidth="1"/>
    <col min="27" max="27" width="9" customWidth="1"/>
    <col min="28" max="28" width="8.5703125" customWidth="1"/>
    <col min="29" max="30" width="9.5703125" customWidth="1"/>
    <col min="31" max="31" width="10.5703125" customWidth="1"/>
    <col min="32" max="32" width="9.42578125" customWidth="1"/>
    <col min="33" max="33" width="10.7109375" customWidth="1"/>
    <col min="34" max="34" width="10.5703125" customWidth="1"/>
    <col min="35" max="35" width="13.140625" customWidth="1"/>
    <col min="36" max="36" width="17.85546875" customWidth="1"/>
    <col min="37" max="37" width="12.42578125" customWidth="1"/>
    <col min="38" max="38" width="10.5703125" customWidth="1"/>
    <col min="39" max="39" width="14.28515625" customWidth="1"/>
    <col min="40" max="40" width="10.5703125" customWidth="1"/>
    <col min="41" max="41" width="12.85546875" customWidth="1"/>
    <col min="42" max="44" width="10.5703125" customWidth="1"/>
    <col min="45" max="45" width="12.85546875" customWidth="1"/>
    <col min="46" max="46" width="10.5703125" customWidth="1"/>
    <col min="47" max="47" width="14.5703125" customWidth="1"/>
    <col min="48" max="48" width="10.5703125" customWidth="1"/>
    <col min="49" max="49" width="14.28515625" customWidth="1"/>
    <col min="50" max="54" width="10.5703125" customWidth="1"/>
    <col min="55" max="55" width="13.140625" customWidth="1"/>
    <col min="56" max="56" width="10.5703125" customWidth="1"/>
    <col min="57" max="57" width="14.42578125" customWidth="1"/>
    <col min="58" max="64" width="11.140625" customWidth="1"/>
    <col min="65" max="65" width="12.85546875" customWidth="1"/>
    <col min="66" max="68" width="11.140625" customWidth="1"/>
    <col min="69" max="69" width="11.42578125" customWidth="1"/>
    <col min="70" max="70" width="10.140625" customWidth="1"/>
    <col min="71" max="71" width="11.42578125" customWidth="1"/>
    <col min="72" max="72" width="11.85546875" customWidth="1"/>
    <col min="73" max="73" width="11.28515625" customWidth="1"/>
    <col min="76" max="76" width="9.28515625" customWidth="1"/>
    <col min="77" max="77" width="13.5703125" customWidth="1"/>
    <col min="78" max="78" width="9.28515625" customWidth="1"/>
    <col min="79" max="79" width="13.7109375" customWidth="1"/>
    <col min="80" max="80" width="12.7109375" customWidth="1"/>
    <col min="81" max="81" width="14.42578125" customWidth="1"/>
    <col min="82" max="82" width="12.85546875" customWidth="1"/>
    <col min="84" max="84" width="11.42578125" customWidth="1"/>
    <col min="88" max="88" width="12" customWidth="1"/>
    <col min="90" max="90" width="12" customWidth="1"/>
    <col min="94" max="94" width="12" customWidth="1"/>
    <col min="96" max="96" width="11.85546875" customWidth="1"/>
    <col min="98" max="98" width="11.42578125" customWidth="1"/>
    <col min="100" max="100" width="11.28515625" customWidth="1"/>
    <col min="102" max="102" width="12.7109375" customWidth="1"/>
    <col min="108" max="108" width="8.28515625" customWidth="1"/>
    <col min="110" max="110" width="21.85546875" customWidth="1"/>
    <col min="123" max="123" width="20" customWidth="1"/>
    <col min="162" max="164" width="10.5703125" customWidth="1"/>
  </cols>
  <sheetData>
    <row r="2" spans="1:204" ht="15.75" customHeight="1" x14ac:dyDescent="0.25"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DI2" s="9"/>
    </row>
    <row r="3" spans="1:204" ht="17.25" customHeight="1" x14ac:dyDescent="0.25">
      <c r="U3" s="1"/>
      <c r="W3" s="19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9"/>
      <c r="BU3" s="16"/>
      <c r="BV3" s="19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</row>
    <row r="4" spans="1:204" x14ac:dyDescent="0.25">
      <c r="A4" t="s">
        <v>133</v>
      </c>
      <c r="U4" s="1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9"/>
      <c r="BU4" s="16"/>
      <c r="BV4" s="19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</row>
    <row r="5" spans="1:204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</row>
    <row r="6" spans="1:204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1" t="s">
        <v>31</v>
      </c>
      <c r="P6" s="50" t="s">
        <v>111</v>
      </c>
      <c r="Q6" s="50" t="s">
        <v>112</v>
      </c>
      <c r="R6" s="50" t="s">
        <v>113</v>
      </c>
      <c r="S6" s="51" t="s">
        <v>31</v>
      </c>
      <c r="T6" s="50" t="s">
        <v>30</v>
      </c>
      <c r="U6" s="17"/>
      <c r="V6" s="17"/>
      <c r="W6" s="18"/>
      <c r="X6" s="24" t="s">
        <v>56</v>
      </c>
      <c r="Y6" s="25" t="s">
        <v>16</v>
      </c>
      <c r="Z6" s="26" t="s">
        <v>57</v>
      </c>
      <c r="AA6" s="25" t="s">
        <v>16</v>
      </c>
      <c r="AB6" s="26" t="s">
        <v>58</v>
      </c>
      <c r="AC6" s="25" t="s">
        <v>16</v>
      </c>
      <c r="AD6" s="26" t="s">
        <v>59</v>
      </c>
      <c r="AE6" s="25" t="s">
        <v>16</v>
      </c>
      <c r="AF6" s="26" t="s">
        <v>60</v>
      </c>
      <c r="AG6" s="25" t="s">
        <v>16</v>
      </c>
      <c r="AH6" s="17"/>
      <c r="AI6" s="17"/>
      <c r="AJ6" s="18"/>
      <c r="AK6" s="24" t="s">
        <v>74</v>
      </c>
      <c r="AL6" s="25" t="s">
        <v>16</v>
      </c>
      <c r="AM6" s="26" t="s">
        <v>73</v>
      </c>
      <c r="AN6" s="25" t="s">
        <v>16</v>
      </c>
      <c r="AO6" s="26" t="s">
        <v>72</v>
      </c>
      <c r="AP6" s="25" t="s">
        <v>16</v>
      </c>
      <c r="AQ6" s="26" t="s">
        <v>71</v>
      </c>
      <c r="AR6" s="25" t="s">
        <v>16</v>
      </c>
      <c r="AS6" s="26" t="s">
        <v>77</v>
      </c>
      <c r="AT6" s="25" t="s">
        <v>16</v>
      </c>
      <c r="AU6" s="17"/>
      <c r="AV6" s="27" t="s">
        <v>54</v>
      </c>
      <c r="AW6" s="24"/>
      <c r="AX6" s="27" t="s">
        <v>115</v>
      </c>
      <c r="AY6" s="24"/>
      <c r="AZ6" s="27" t="s">
        <v>116</v>
      </c>
      <c r="BA6" s="24"/>
      <c r="BB6" s="27" t="s">
        <v>55</v>
      </c>
      <c r="BC6" s="24"/>
      <c r="BD6" s="18"/>
      <c r="BE6" s="63"/>
      <c r="BF6" s="18"/>
      <c r="BG6" s="64"/>
      <c r="BH6" s="18"/>
      <c r="BI6" s="64"/>
      <c r="BJ6" s="18"/>
      <c r="BK6" s="17"/>
      <c r="BL6" s="63"/>
      <c r="BM6" s="63"/>
      <c r="BN6" s="17"/>
      <c r="BO6" s="65"/>
      <c r="BP6" s="18"/>
      <c r="BQ6" s="64"/>
      <c r="BR6" s="18"/>
      <c r="BS6" s="64"/>
      <c r="BT6" s="18"/>
      <c r="BU6" s="17"/>
      <c r="BV6" s="63"/>
      <c r="BW6" s="63"/>
      <c r="BX6" s="16"/>
      <c r="BY6" s="65"/>
      <c r="BZ6" s="18"/>
      <c r="CA6" s="64"/>
      <c r="CB6" s="18"/>
      <c r="CC6" s="64"/>
      <c r="CD6" s="18"/>
      <c r="CE6" s="17"/>
      <c r="CF6" s="63"/>
      <c r="CG6" s="63"/>
      <c r="CH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6"/>
      <c r="DE6" s="4"/>
      <c r="DF6" s="4"/>
      <c r="DG6" s="4"/>
      <c r="DH6" s="4"/>
      <c r="DK6" s="4"/>
      <c r="DL6" s="4"/>
      <c r="DM6" s="4"/>
      <c r="DN6" s="4"/>
      <c r="DO6" s="4"/>
      <c r="DP6" s="4"/>
      <c r="DQ6" s="4"/>
      <c r="DR6" s="4"/>
      <c r="DT6" s="4"/>
      <c r="DU6" s="4"/>
      <c r="DV6" s="4"/>
      <c r="DW6" s="4"/>
      <c r="DX6" s="4"/>
      <c r="DY6" s="4"/>
      <c r="EB6" s="4"/>
      <c r="EC6" s="4"/>
      <c r="ED6" s="4"/>
      <c r="EE6" s="4"/>
      <c r="EF6" s="4"/>
      <c r="EG6" s="4"/>
      <c r="EH6" s="4"/>
      <c r="EI6" s="4"/>
      <c r="EL6" s="4"/>
      <c r="EM6" s="4"/>
      <c r="EN6" s="4"/>
      <c r="EO6" s="4"/>
      <c r="EP6" s="4"/>
      <c r="EQ6" s="4"/>
      <c r="ER6" s="4"/>
      <c r="ES6" s="4"/>
      <c r="ET6" s="4"/>
      <c r="EU6" s="4"/>
      <c r="EW6" s="4"/>
      <c r="EX6" s="4"/>
      <c r="EY6" s="4"/>
      <c r="EZ6" s="4"/>
      <c r="FA6" s="4"/>
      <c r="FB6" s="4"/>
      <c r="FC6" s="4"/>
      <c r="FD6" s="4"/>
      <c r="FE6" s="4"/>
      <c r="FF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H6" s="4"/>
      <c r="GI6" s="4"/>
      <c r="GJ6" s="4"/>
      <c r="GK6" s="4"/>
      <c r="GL6" s="4"/>
      <c r="GM6" s="4"/>
      <c r="GN6" s="4"/>
      <c r="GO6" s="4"/>
      <c r="GP6" s="4"/>
      <c r="GQ6" s="4"/>
      <c r="GS6" s="4"/>
    </row>
    <row r="7" spans="1:204" ht="15.75" x14ac:dyDescent="0.25">
      <c r="A7" t="s">
        <v>5</v>
      </c>
      <c r="B7" s="28">
        <v>1.68</v>
      </c>
      <c r="C7" s="29">
        <f>B7/AVERAGE($N7,$M7,$R7,$Q7)</f>
        <v>4.820659971305595E-2</v>
      </c>
      <c r="D7" s="12">
        <v>1.29</v>
      </c>
      <c r="E7" s="29">
        <f>D7/AVERAGE($N7,$M7,$R7,$Q7)</f>
        <v>3.7015781922525109E-2</v>
      </c>
      <c r="F7" s="12">
        <v>0.98</v>
      </c>
      <c r="G7" s="29">
        <f>F7/AVERAGE($N7,$M7,$R7,$Q7)</f>
        <v>2.8120516499282638E-2</v>
      </c>
      <c r="H7" s="33"/>
      <c r="I7" s="12">
        <f>AVERAGE(B7,D7,F7)</f>
        <v>1.3166666666666667</v>
      </c>
      <c r="J7" s="29">
        <f>STDEV(B7,D7,F7)/I7</f>
        <v>0.26640081818594213</v>
      </c>
      <c r="K7" s="19"/>
      <c r="L7" s="52">
        <v>34.86</v>
      </c>
      <c r="M7" s="52">
        <v>34.520000000000003</v>
      </c>
      <c r="N7" s="52">
        <v>35.6</v>
      </c>
      <c r="O7" s="53">
        <f>AVERAGE(N7,L7,M7)</f>
        <v>34.993333333333339</v>
      </c>
      <c r="P7" s="52">
        <v>34.53</v>
      </c>
      <c r="Q7" s="52">
        <v>34.380000000000003</v>
      </c>
      <c r="R7" s="53">
        <v>34.9</v>
      </c>
      <c r="S7" s="53">
        <f>AVERAGE(R7,P7,Q7)</f>
        <v>34.603333333333332</v>
      </c>
      <c r="T7" s="54">
        <f>ABS(L7-R7)/AVERAGE(L7:R7)</f>
        <v>1.1485608805633172E-3</v>
      </c>
      <c r="U7" s="38"/>
      <c r="V7" s="38"/>
      <c r="W7" s="16"/>
      <c r="X7" s="28">
        <v>1.63</v>
      </c>
      <c r="Y7" s="29">
        <f>X7/AVERAGE($N7,$M7,$R7,$Q7)</f>
        <v>4.6771879483500714E-2</v>
      </c>
      <c r="Z7" s="12">
        <v>0.98</v>
      </c>
      <c r="AA7" s="29">
        <f>Z7/AVERAGE($N7,$M7,$R7,$Q7)</f>
        <v>2.8120516499282638E-2</v>
      </c>
      <c r="AB7" s="12">
        <v>1.43</v>
      </c>
      <c r="AC7" s="29">
        <f>AB7/AVERAGE($N7,$M7,$R7,$Q7)</f>
        <v>4.1032998565279769E-2</v>
      </c>
      <c r="AD7" s="12">
        <v>1.54</v>
      </c>
      <c r="AE7" s="29">
        <f>AD7/AVERAGE($N7,$M7,$R7,$Q7)</f>
        <v>4.4189383070301291E-2</v>
      </c>
      <c r="AF7" s="12">
        <v>1.56</v>
      </c>
      <c r="AG7" s="29">
        <f>AF7/AVERAGE($N7,$M7,$R7,$Q7)</f>
        <v>4.4763271162123384E-2</v>
      </c>
      <c r="AH7" s="16"/>
      <c r="AI7" s="38"/>
      <c r="AJ7" s="20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43"/>
      <c r="AV7" s="12">
        <v>1.32</v>
      </c>
      <c r="AW7" s="29">
        <f>AV7/AVERAGE($L7,$M7,$P7,$Q7)</f>
        <v>3.8180634897678797E-2</v>
      </c>
      <c r="AX7" s="12">
        <v>1.33</v>
      </c>
      <c r="AY7" s="29">
        <f>AX7/AVERAGE($L7,$M7,$P7,$Q7)</f>
        <v>3.846988213175212E-2</v>
      </c>
      <c r="AZ7" s="12">
        <v>1.33</v>
      </c>
      <c r="BA7" s="29">
        <f>AZ7/AVERAGE($L7,$M7,$P7,$Q7)</f>
        <v>3.846988213175212E-2</v>
      </c>
      <c r="BB7" s="12">
        <v>1.1200000000000001</v>
      </c>
      <c r="BC7" s="29">
        <f>BB7/AVERAGE($L7,$M7,$P7,$Q7)</f>
        <v>3.239569021621231E-2</v>
      </c>
      <c r="BD7" s="20"/>
      <c r="BE7" s="43"/>
      <c r="BF7" s="23"/>
      <c r="BG7" s="16"/>
      <c r="BH7" s="23"/>
      <c r="BI7" s="16"/>
      <c r="BJ7" s="23"/>
      <c r="BK7" s="23"/>
      <c r="BL7" s="16"/>
      <c r="BM7" s="38"/>
      <c r="BN7" s="16"/>
      <c r="BO7" s="43"/>
      <c r="BP7" s="23"/>
      <c r="BQ7" s="16"/>
      <c r="BR7" s="23"/>
      <c r="BS7" s="16"/>
      <c r="BT7" s="23"/>
      <c r="BU7" s="23"/>
      <c r="BV7" s="16"/>
      <c r="BW7" s="38"/>
      <c r="BX7" s="20"/>
      <c r="BY7" s="43"/>
      <c r="BZ7" s="23"/>
      <c r="CA7" s="16"/>
      <c r="CB7" s="23"/>
      <c r="CC7" s="16"/>
      <c r="CD7" s="23"/>
      <c r="CE7" s="23"/>
      <c r="CF7" s="16"/>
      <c r="CG7" s="38"/>
      <c r="CH7" s="16"/>
      <c r="CM7" s="20"/>
      <c r="CN7" s="16"/>
      <c r="CO7" s="20"/>
      <c r="CP7" s="16"/>
      <c r="CQ7" s="20"/>
      <c r="CR7" s="16"/>
      <c r="CS7" s="20"/>
      <c r="CT7" s="16"/>
      <c r="CU7" s="20"/>
      <c r="CV7" s="16"/>
      <c r="CW7" s="20"/>
      <c r="CX7" s="16"/>
      <c r="CY7" s="20"/>
      <c r="CZ7" s="19"/>
      <c r="DA7" s="19"/>
      <c r="DB7" s="19"/>
      <c r="DC7" s="1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5"/>
      <c r="EY7" s="8"/>
      <c r="FA7" s="8"/>
      <c r="FC7" s="8"/>
      <c r="FE7" s="1"/>
      <c r="FF7" s="8"/>
      <c r="FG7" s="2"/>
      <c r="FH7" s="5"/>
      <c r="FJ7" s="8"/>
      <c r="FL7" s="8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</row>
    <row r="8" spans="1:204" ht="15.75" x14ac:dyDescent="0.25">
      <c r="A8" t="s">
        <v>9</v>
      </c>
      <c r="B8" s="28">
        <v>30.18</v>
      </c>
      <c r="C8" s="30">
        <f>B8/AVERAGE($N8,$M8,$R8,$Q8)</f>
        <v>0.88653888521700808</v>
      </c>
      <c r="D8" s="12">
        <v>30.25</v>
      </c>
      <c r="E8" s="30">
        <f>D8/AVERAGE($N8,$M8,$R8,$Q8)</f>
        <v>0.88859513842990367</v>
      </c>
      <c r="F8" s="12">
        <v>32.159999999999997</v>
      </c>
      <c r="G8" s="30">
        <f>F8/AVERAGE($N8,$M8,$R8,$Q8)</f>
        <v>0.94470147609605615</v>
      </c>
      <c r="H8" s="34"/>
      <c r="I8" s="12">
        <f>AVERAGE(B8,D8,F8)</f>
        <v>30.863333333333333</v>
      </c>
      <c r="J8" s="30">
        <f>STDEV(B8,D8,F8)/I8</f>
        <v>3.6402146495394951E-2</v>
      </c>
      <c r="K8" s="19"/>
      <c r="L8" s="52">
        <v>34.81</v>
      </c>
      <c r="M8" s="52">
        <v>34.090000000000003</v>
      </c>
      <c r="N8" s="52">
        <v>33.79</v>
      </c>
      <c r="O8" s="53">
        <f>AVERAGE(N8,L8,M8)</f>
        <v>34.229999999999997</v>
      </c>
      <c r="P8" s="52">
        <v>35.32</v>
      </c>
      <c r="Q8" s="52">
        <v>34.590000000000003</v>
      </c>
      <c r="R8" s="53">
        <v>33.700000000000003</v>
      </c>
      <c r="S8" s="53">
        <f>AVERAGE(R8,P8,Q8)</f>
        <v>34.536666666666669</v>
      </c>
      <c r="T8" s="54">
        <f>ABS(L8-R8)/AVERAGE(L8:R8)</f>
        <v>3.2303662744771949E-2</v>
      </c>
      <c r="U8" s="38"/>
      <c r="V8" s="38"/>
      <c r="W8" s="16"/>
      <c r="X8" s="28">
        <v>31.31</v>
      </c>
      <c r="Y8" s="30">
        <f>X8/AVERAGE($N8,$M8,$R8,$Q8)</f>
        <v>0.91973268708232347</v>
      </c>
      <c r="Z8" s="12">
        <v>33.54</v>
      </c>
      <c r="AA8" s="30">
        <f>Z8/AVERAGE($N8,$M8,$R8,$Q8)</f>
        <v>0.985239039435999</v>
      </c>
      <c r="AB8" s="12">
        <v>30.58</v>
      </c>
      <c r="AC8" s="30">
        <f>AB8/AVERAGE($N8,$M8,$R8,$Q8)</f>
        <v>0.89828890357641167</v>
      </c>
      <c r="AD8" s="12">
        <v>30.57</v>
      </c>
      <c r="AE8" s="30">
        <f>AD8/AVERAGE($N8,$M8,$R8,$Q8)</f>
        <v>0.89799515311742661</v>
      </c>
      <c r="AF8" s="12">
        <v>27.02</v>
      </c>
      <c r="AG8" s="30">
        <f>AF8/AVERAGE($N8,$M8,$R8,$Q8)</f>
        <v>0.7937137401777189</v>
      </c>
      <c r="AH8" s="16"/>
      <c r="AI8" s="23"/>
      <c r="AJ8" s="20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43"/>
      <c r="AV8" s="12">
        <v>27.24</v>
      </c>
      <c r="AW8" s="30">
        <f>AV8/AVERAGE($L8,$M8,$P8,$Q8)</f>
        <v>0.78495785606224333</v>
      </c>
      <c r="AX8" s="12">
        <v>27.01</v>
      </c>
      <c r="AY8" s="30">
        <f>AX8/AVERAGE($L8,$M8,$P8,$Q8)</f>
        <v>0.77833009149196752</v>
      </c>
      <c r="AZ8" s="12">
        <v>26.95</v>
      </c>
      <c r="BA8" s="30">
        <f>AZ8/AVERAGE($L8,$M8,$P8,$Q8)</f>
        <v>0.77660110943015626</v>
      </c>
      <c r="BB8" s="12">
        <v>32.659999999999997</v>
      </c>
      <c r="BC8" s="30">
        <f>BB8/AVERAGE($L8,$M8,$P8,$Q8)</f>
        <v>0.94114256897918003</v>
      </c>
      <c r="BD8" s="20"/>
      <c r="BE8" s="43"/>
      <c r="BF8" s="38"/>
      <c r="BG8" s="16"/>
      <c r="BH8" s="38"/>
      <c r="BI8" s="16"/>
      <c r="BJ8" s="38"/>
      <c r="BK8" s="38"/>
      <c r="BL8" s="16"/>
      <c r="BM8" s="38"/>
      <c r="BN8" s="16"/>
      <c r="BO8" s="43"/>
      <c r="BP8" s="23"/>
      <c r="BQ8" s="16"/>
      <c r="BR8" s="23"/>
      <c r="BS8" s="16"/>
      <c r="BT8" s="23"/>
      <c r="BU8" s="38"/>
      <c r="BV8" s="16"/>
      <c r="BW8" s="38"/>
      <c r="BX8" s="20"/>
      <c r="BY8" s="43"/>
      <c r="BZ8" s="23"/>
      <c r="CA8" s="16"/>
      <c r="CB8" s="23"/>
      <c r="CC8" s="16"/>
      <c r="CD8" s="23"/>
      <c r="CE8" s="38"/>
      <c r="CF8" s="16"/>
      <c r="CG8" s="38"/>
      <c r="CH8" s="16"/>
      <c r="CM8" s="20"/>
      <c r="CN8" s="16"/>
      <c r="CO8" s="20"/>
      <c r="CP8" s="16"/>
      <c r="CQ8" s="20"/>
      <c r="CR8" s="16"/>
      <c r="CS8" s="20"/>
      <c r="CT8" s="16"/>
      <c r="CU8" s="20"/>
      <c r="CV8" s="16"/>
      <c r="CW8" s="20"/>
      <c r="CX8" s="16"/>
      <c r="CY8" s="20"/>
      <c r="CZ8" s="19"/>
      <c r="DA8" s="19"/>
      <c r="DB8" s="19"/>
      <c r="DC8" s="1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5"/>
      <c r="EY8" s="8"/>
      <c r="FA8" s="8"/>
      <c r="FC8" s="8"/>
      <c r="FE8" s="1"/>
      <c r="FF8" s="8"/>
      <c r="FG8" s="2"/>
      <c r="FH8" s="5"/>
      <c r="FJ8" s="8"/>
      <c r="FL8" s="8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</row>
    <row r="9" spans="1:204" ht="15.75" x14ac:dyDescent="0.25">
      <c r="A9" t="s">
        <v>7</v>
      </c>
      <c r="B9" s="28">
        <v>10.56</v>
      </c>
      <c r="C9" s="30">
        <f>B9/AVERAGE($N9,$M9,$R9,$Q9)</f>
        <v>0.91547464239271781</v>
      </c>
      <c r="D9" s="12">
        <v>21.04</v>
      </c>
      <c r="E9" s="29">
        <f>D9/AVERAGE($N9,$M9,$R9,$Q9)</f>
        <v>1.824013870827915</v>
      </c>
      <c r="F9" s="12">
        <v>12.37</v>
      </c>
      <c r="G9" s="30">
        <f>F9/AVERAGE($N9,$M9,$R9,$Q9)</f>
        <v>1.072388383181621</v>
      </c>
      <c r="H9" s="34"/>
      <c r="I9" s="12">
        <f>AVERAGE(B9,D9,F9)</f>
        <v>14.656666666666666</v>
      </c>
      <c r="J9" s="29">
        <f>STDEV(B9,D9,F9)/I9</f>
        <v>0.38219583798155105</v>
      </c>
      <c r="K9" s="16"/>
      <c r="L9" s="52">
        <v>11.23</v>
      </c>
      <c r="M9" s="52">
        <v>11.09</v>
      </c>
      <c r="N9" s="52">
        <v>11.2</v>
      </c>
      <c r="O9" s="53">
        <f>AVERAGE(N9,L9,M9)</f>
        <v>11.173333333333332</v>
      </c>
      <c r="P9" s="52">
        <v>11.75</v>
      </c>
      <c r="Q9" s="52">
        <v>12</v>
      </c>
      <c r="R9" s="52">
        <v>11.85</v>
      </c>
      <c r="S9" s="53">
        <f>AVERAGE(R9,P9,Q9)</f>
        <v>11.866666666666667</v>
      </c>
      <c r="T9" s="54">
        <f>ABS(L9-R9)/AVERAGE(L9:R9)</f>
        <v>5.4051810029890339E-2</v>
      </c>
      <c r="U9" s="38"/>
      <c r="V9" s="38"/>
      <c r="W9" s="16"/>
      <c r="X9" s="28"/>
      <c r="Y9" s="12"/>
      <c r="Z9" s="12"/>
      <c r="AA9" s="12"/>
      <c r="AB9" s="12"/>
      <c r="AC9" s="12"/>
      <c r="AD9" s="12"/>
      <c r="AE9" s="12"/>
      <c r="AF9" s="12"/>
      <c r="AG9" s="12"/>
      <c r="AH9" s="16"/>
      <c r="AI9" s="45"/>
      <c r="AJ9" s="43"/>
      <c r="AK9" s="28">
        <v>15.51</v>
      </c>
      <c r="AL9" s="12">
        <f>AK9/0.5*10</f>
        <v>310.2</v>
      </c>
      <c r="AM9" s="12">
        <v>53.34</v>
      </c>
      <c r="AN9" s="12">
        <f>AM9/0.5*10</f>
        <v>1066.8000000000002</v>
      </c>
      <c r="AO9" s="12">
        <v>29.99</v>
      </c>
      <c r="AP9" s="12">
        <f>AO9/0.5*20</f>
        <v>1199.5999999999999</v>
      </c>
      <c r="AQ9" s="12">
        <v>40.200000000000003</v>
      </c>
      <c r="AR9" s="12">
        <f>AQ9/0.5*20</f>
        <v>1608</v>
      </c>
      <c r="AS9" s="12">
        <v>12.34</v>
      </c>
      <c r="AT9" s="12">
        <f>AS9/0.5*100</f>
        <v>2468</v>
      </c>
      <c r="AU9" s="45"/>
      <c r="AV9" s="12">
        <v>12.67</v>
      </c>
      <c r="AW9" s="30"/>
      <c r="AX9" s="12">
        <v>12.3</v>
      </c>
      <c r="AY9" s="30"/>
      <c r="AZ9" s="12">
        <v>12.14</v>
      </c>
      <c r="BA9" s="30"/>
      <c r="BB9" s="12">
        <v>9.14</v>
      </c>
      <c r="BC9" s="30"/>
      <c r="BD9" s="19"/>
      <c r="BE9" s="43"/>
      <c r="BF9" s="16"/>
      <c r="BG9" s="16"/>
      <c r="BH9" s="16"/>
      <c r="BI9" s="16"/>
      <c r="BJ9" s="16"/>
      <c r="BK9" s="38"/>
      <c r="BL9" s="16"/>
      <c r="BM9" s="38"/>
      <c r="BN9" s="16"/>
      <c r="BO9" s="43"/>
      <c r="BP9" s="16"/>
      <c r="BQ9" s="16"/>
      <c r="BR9" s="16"/>
      <c r="BS9" s="16"/>
      <c r="BT9" s="16"/>
      <c r="BU9" s="38"/>
      <c r="BV9" s="16"/>
      <c r="BW9" s="38"/>
      <c r="BX9" s="20"/>
      <c r="BY9" s="43"/>
      <c r="BZ9" s="16"/>
      <c r="CA9" s="16"/>
      <c r="CB9" s="16"/>
      <c r="CC9" s="16"/>
      <c r="CD9" s="16"/>
      <c r="CE9" s="38"/>
      <c r="CF9" s="16"/>
      <c r="CG9" s="38"/>
      <c r="CH9" s="16"/>
      <c r="CM9" s="19"/>
      <c r="CN9" s="16"/>
      <c r="CO9" s="19"/>
      <c r="CP9" s="16"/>
      <c r="CQ9" s="19"/>
      <c r="CR9" s="16"/>
      <c r="CS9" s="19"/>
      <c r="CT9" s="16"/>
      <c r="CU9" s="19"/>
      <c r="CV9" s="16"/>
      <c r="CW9" s="19"/>
      <c r="CX9" s="16"/>
      <c r="CY9" s="19"/>
      <c r="CZ9" s="46"/>
      <c r="DA9" s="16"/>
      <c r="DB9" s="46"/>
      <c r="DC9" s="45"/>
      <c r="DD9" s="2"/>
      <c r="DE9" s="2"/>
      <c r="DI9" s="6"/>
      <c r="DJ9" s="2"/>
      <c r="DL9" s="8"/>
      <c r="DN9" s="8"/>
      <c r="DO9" s="8"/>
      <c r="DP9" s="8"/>
      <c r="DQ9" s="8"/>
      <c r="DR9" s="8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5"/>
      <c r="EE9" s="1"/>
      <c r="EG9" s="1"/>
      <c r="EI9" s="1"/>
      <c r="EJ9" s="1"/>
      <c r="EK9" s="2"/>
      <c r="EL9" s="2"/>
      <c r="EN9" s="7"/>
      <c r="EP9" s="7"/>
      <c r="ER9" s="7"/>
      <c r="ET9" s="7"/>
      <c r="EU9" s="7"/>
      <c r="EV9" s="7"/>
      <c r="EW9" s="7"/>
      <c r="EY9" s="7"/>
      <c r="FA9" s="7"/>
      <c r="FC9" s="7"/>
      <c r="FE9" s="7"/>
      <c r="FF9" s="7"/>
      <c r="FG9" s="7"/>
      <c r="FH9" s="7"/>
      <c r="FJ9" s="7"/>
      <c r="FL9" s="7"/>
      <c r="FN9" s="7"/>
      <c r="FP9" s="7"/>
      <c r="FR9" s="7"/>
      <c r="FS9" s="7"/>
      <c r="FT9" s="7"/>
      <c r="FU9" s="7"/>
      <c r="FW9" s="7"/>
      <c r="FY9" s="7"/>
      <c r="GA9" s="7"/>
      <c r="GC9" s="7"/>
      <c r="GE9" s="7"/>
      <c r="GF9" s="7"/>
      <c r="GG9" s="7"/>
      <c r="GH9" s="7"/>
      <c r="GJ9" s="7"/>
      <c r="GL9" s="7"/>
      <c r="GN9" s="7"/>
      <c r="GP9" s="7"/>
      <c r="GQ9" s="2"/>
      <c r="GR9" s="2"/>
      <c r="GS9" s="2"/>
    </row>
    <row r="10" spans="1:204" ht="15.75" x14ac:dyDescent="0.25">
      <c r="A10" t="s">
        <v>6</v>
      </c>
      <c r="B10" s="28">
        <v>20.62</v>
      </c>
      <c r="C10" s="30">
        <f>B10/AVERAGE($N10,$M10,$R10,$Q10)</f>
        <v>0.88450402144772122</v>
      </c>
      <c r="D10" s="12">
        <v>37.15</v>
      </c>
      <c r="E10" s="29">
        <f>D10/AVERAGE($N10,$M10,$R10,$Q10)</f>
        <v>1.5935656836461125</v>
      </c>
      <c r="F10" s="12">
        <v>22.15</v>
      </c>
      <c r="G10" s="30">
        <f>F10/AVERAGE($N10,$M10,$R10,$Q10)</f>
        <v>0.95013404825737258</v>
      </c>
      <c r="H10" s="34"/>
      <c r="I10" s="12">
        <f>AVERAGE(B10,D10,F10)</f>
        <v>26.639999999999997</v>
      </c>
      <c r="J10" s="29">
        <f>STDEV(B10,D10,F10)/I10</f>
        <v>0.34286857472683496</v>
      </c>
      <c r="K10" s="16"/>
      <c r="L10" s="52">
        <v>22.99</v>
      </c>
      <c r="M10" s="52">
        <v>22.76</v>
      </c>
      <c r="N10" s="52">
        <v>23.74</v>
      </c>
      <c r="O10" s="53">
        <f>AVERAGE(N10,L10,M10)</f>
        <v>23.16333333333333</v>
      </c>
      <c r="P10" s="52">
        <v>24.72</v>
      </c>
      <c r="Q10" s="52">
        <v>22.21</v>
      </c>
      <c r="R10" s="52">
        <v>24.54</v>
      </c>
      <c r="S10" s="53">
        <f>AVERAGE(R10,P10,Q10)</f>
        <v>23.823333333333334</v>
      </c>
      <c r="T10" s="54">
        <f>ABS(L10-R10)/AVERAGE(L10:R10)</f>
        <v>6.6108820602392551E-2</v>
      </c>
      <c r="U10" s="38"/>
      <c r="V10" s="38"/>
      <c r="W10" s="16"/>
      <c r="X10" s="28"/>
      <c r="Y10" s="12"/>
      <c r="Z10" s="12"/>
      <c r="AA10" s="12"/>
      <c r="AB10" s="12"/>
      <c r="AC10" s="12"/>
      <c r="AD10" s="12"/>
      <c r="AE10" s="12"/>
      <c r="AF10" s="12"/>
      <c r="AG10" s="12"/>
      <c r="AH10" s="16"/>
      <c r="AI10" s="45"/>
      <c r="AJ10" s="43"/>
      <c r="AK10" s="28">
        <v>31.32</v>
      </c>
      <c r="AL10" s="12">
        <f>AK10/0.5*10</f>
        <v>626.4</v>
      </c>
      <c r="AM10" s="12">
        <v>111.37</v>
      </c>
      <c r="AN10" s="12">
        <f>AM10/0.5*10</f>
        <v>2227.4</v>
      </c>
      <c r="AO10" s="12">
        <v>60.07</v>
      </c>
      <c r="AP10" s="12">
        <f>AO10/0.5*20</f>
        <v>2402.8000000000002</v>
      </c>
      <c r="AQ10" s="12">
        <v>83.25</v>
      </c>
      <c r="AR10" s="12">
        <f>AQ10/0.5*20</f>
        <v>3330</v>
      </c>
      <c r="AS10" s="12">
        <v>24.13</v>
      </c>
      <c r="AT10" s="12">
        <f>AS10/0.5*100</f>
        <v>4826</v>
      </c>
      <c r="AU10" s="45"/>
      <c r="AV10" s="12">
        <v>22.38</v>
      </c>
      <c r="AW10" s="30"/>
      <c r="AX10" s="12">
        <v>21.81</v>
      </c>
      <c r="AY10" s="30"/>
      <c r="AZ10" s="12">
        <v>29.61</v>
      </c>
      <c r="BA10" s="30"/>
      <c r="BB10" s="12">
        <v>15.01</v>
      </c>
      <c r="BC10" s="30"/>
      <c r="BD10" s="19"/>
      <c r="BE10" s="43"/>
      <c r="BF10" s="16"/>
      <c r="BG10" s="16"/>
      <c r="BH10" s="16"/>
      <c r="BI10" s="16"/>
      <c r="BJ10" s="16"/>
      <c r="BK10" s="38"/>
      <c r="BL10" s="16"/>
      <c r="BM10" s="38"/>
      <c r="BN10" s="16"/>
      <c r="BO10" s="43"/>
      <c r="BP10" s="16"/>
      <c r="BQ10" s="16"/>
      <c r="BR10" s="16"/>
      <c r="BS10" s="16"/>
      <c r="BT10" s="16"/>
      <c r="BU10" s="38"/>
      <c r="BV10" s="16"/>
      <c r="BW10" s="38"/>
      <c r="BX10" s="20"/>
      <c r="BY10" s="43"/>
      <c r="BZ10" s="16"/>
      <c r="CA10" s="16"/>
      <c r="CB10" s="16"/>
      <c r="CC10" s="16"/>
      <c r="CD10" s="16"/>
      <c r="CE10" s="38"/>
      <c r="CF10" s="16"/>
      <c r="CG10" s="38"/>
      <c r="CH10" s="16"/>
      <c r="CM10" s="19"/>
      <c r="CN10" s="16"/>
      <c r="CO10" s="19"/>
      <c r="CP10" s="16"/>
      <c r="CQ10" s="19"/>
      <c r="CR10" s="16"/>
      <c r="CS10" s="19"/>
      <c r="CT10" s="16"/>
      <c r="CU10" s="19"/>
      <c r="CV10" s="16"/>
      <c r="CW10" s="19"/>
      <c r="CX10" s="16"/>
      <c r="CY10" s="19"/>
      <c r="CZ10" s="46"/>
      <c r="DA10" s="16"/>
      <c r="DB10" s="46"/>
      <c r="DC10" s="45"/>
      <c r="DD10" s="2"/>
      <c r="DE10" s="2"/>
      <c r="DH10" s="1"/>
      <c r="DI10" s="6"/>
      <c r="DJ10" s="2"/>
      <c r="DL10" s="8"/>
      <c r="DN10" s="8"/>
      <c r="DO10" s="8"/>
      <c r="DP10" s="8"/>
      <c r="DQ10" s="8"/>
      <c r="DR10" s="8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5"/>
      <c r="EE10" s="1"/>
      <c r="EG10" s="1"/>
      <c r="EI10" s="1"/>
      <c r="EJ10" s="1"/>
      <c r="EK10" s="2"/>
      <c r="EL10" s="2"/>
      <c r="EN10" s="7"/>
      <c r="EP10" s="7"/>
      <c r="ER10" s="7"/>
      <c r="ET10" s="7"/>
      <c r="EU10" s="7"/>
      <c r="EV10" s="7"/>
      <c r="EW10" s="7"/>
      <c r="EY10" s="7"/>
      <c r="FA10" s="7"/>
      <c r="FC10" s="7"/>
      <c r="FE10" s="7"/>
      <c r="FF10" s="7"/>
      <c r="FG10" s="7"/>
      <c r="FH10" s="7"/>
      <c r="FJ10" s="7"/>
      <c r="FL10" s="7"/>
      <c r="FN10" s="7"/>
      <c r="FP10" s="7"/>
      <c r="FR10" s="7"/>
      <c r="FS10" s="7"/>
      <c r="FT10" s="7"/>
      <c r="FU10" s="7"/>
      <c r="FW10" s="7"/>
      <c r="FY10" s="7"/>
      <c r="GA10" s="7"/>
      <c r="GC10" s="7"/>
      <c r="GE10" s="7"/>
      <c r="GF10" s="7"/>
      <c r="GG10" s="7"/>
      <c r="GH10" s="7"/>
      <c r="GJ10" s="7"/>
      <c r="GL10" s="7"/>
      <c r="GN10" s="7"/>
      <c r="GP10" s="7"/>
      <c r="GQ10" s="2"/>
      <c r="GR10" s="2"/>
      <c r="GS10" s="2"/>
    </row>
    <row r="11" spans="1:204" ht="15.75" x14ac:dyDescent="0.25">
      <c r="A11" t="s">
        <v>17</v>
      </c>
      <c r="B11" s="52">
        <f>SUM(B$10+B$9)</f>
        <v>31.18</v>
      </c>
      <c r="C11" s="30">
        <f>B11/AVERAGE($N11,$M11,$R11,$Q11)</f>
        <v>0.89475572135734283</v>
      </c>
      <c r="D11" s="52">
        <f>SUM(D$10+D$9)</f>
        <v>58.19</v>
      </c>
      <c r="E11" s="29">
        <f>D11/AVERAGE($N11,$M11,$R11,$Q11)</f>
        <v>1.6698471913336683</v>
      </c>
      <c r="F11" s="52">
        <f>SUM(F$10+F$9)</f>
        <v>34.519999999999996</v>
      </c>
      <c r="G11" s="30">
        <f>F11/AVERAGE($N11,$M11,$R11,$Q11)</f>
        <v>0.99060190831480022</v>
      </c>
      <c r="H11" s="34"/>
      <c r="I11" s="12">
        <f>AVERAGE(B11,D11,F11)</f>
        <v>41.296666666666667</v>
      </c>
      <c r="J11" s="29">
        <f>STDEV(B11,D11,F11)/I11</f>
        <v>0.35656779570701624</v>
      </c>
      <c r="K11" s="19"/>
      <c r="L11" s="52">
        <f>SUM(L$10+L$9)</f>
        <v>34.22</v>
      </c>
      <c r="M11" s="52">
        <f>SUM(M$10+M$9)</f>
        <v>33.85</v>
      </c>
      <c r="N11" s="52">
        <f>SUM(N$10+N$9)</f>
        <v>34.94</v>
      </c>
      <c r="O11" s="53">
        <f>AVERAGE(N11,L11,M11)</f>
        <v>34.336666666666666</v>
      </c>
      <c r="P11" s="52">
        <f>SUM(P$10+P$9)</f>
        <v>36.47</v>
      </c>
      <c r="Q11" s="52">
        <f>SUM(Q$10+Q$9)</f>
        <v>34.21</v>
      </c>
      <c r="R11" s="52">
        <f>SUM(R$10+R$9)</f>
        <v>36.39</v>
      </c>
      <c r="S11" s="53">
        <f>AVERAGE(R11,P11,Q11)</f>
        <v>35.69</v>
      </c>
      <c r="T11" s="54">
        <f>ABS(L11-R11)/AVERAGE(L11:R11)</f>
        <v>6.2147971360381901E-2</v>
      </c>
      <c r="U11" s="38"/>
      <c r="V11" s="38"/>
      <c r="W11" s="16"/>
      <c r="X11" s="13"/>
      <c r="Y11" s="12"/>
      <c r="Z11" s="13"/>
      <c r="AA11" s="12"/>
      <c r="AB11" s="13"/>
      <c r="AC11" s="12"/>
      <c r="AD11" s="13"/>
      <c r="AE11" s="12"/>
      <c r="AF11" s="13"/>
      <c r="AG11" s="12"/>
      <c r="AH11" s="16"/>
      <c r="AI11" s="45"/>
      <c r="AJ11" s="43"/>
      <c r="AK11" s="13">
        <f>SUM(AK10,AK9)</f>
        <v>46.83</v>
      </c>
      <c r="AL11" s="12">
        <f>AK11/0.5*10</f>
        <v>936.59999999999991</v>
      </c>
      <c r="AM11" s="13">
        <f>SUM(AM10,AM9)</f>
        <v>164.71</v>
      </c>
      <c r="AN11" s="12">
        <f>AM11/0.5*10</f>
        <v>3294.2000000000003</v>
      </c>
      <c r="AO11" s="13">
        <f>SUM(AO10,AO9)</f>
        <v>90.06</v>
      </c>
      <c r="AP11" s="12">
        <f>AO11/0.5*20</f>
        <v>3602.4</v>
      </c>
      <c r="AQ11" s="13">
        <f>SUM(AQ10,AQ9)</f>
        <v>123.45</v>
      </c>
      <c r="AR11" s="12">
        <f>AQ11/0.5*20</f>
        <v>4938</v>
      </c>
      <c r="AS11" s="13">
        <f>SUM(AS10,AS9)</f>
        <v>36.47</v>
      </c>
      <c r="AT11" s="12">
        <f>AS11/0.5*100</f>
        <v>7294</v>
      </c>
      <c r="AU11" s="45" t="s">
        <v>81</v>
      </c>
      <c r="AV11" s="12"/>
      <c r="AW11" s="30"/>
      <c r="AX11" s="12"/>
      <c r="AY11" s="30"/>
      <c r="AZ11" s="12"/>
      <c r="BA11" s="30"/>
      <c r="BB11" s="12"/>
      <c r="BC11" s="30"/>
      <c r="BD11" s="19"/>
      <c r="BE11" s="19"/>
      <c r="BF11" s="16"/>
      <c r="BG11" s="19"/>
      <c r="BH11" s="16"/>
      <c r="BI11" s="19"/>
      <c r="BJ11" s="16"/>
      <c r="BK11" s="38"/>
      <c r="BL11" s="16"/>
      <c r="BM11" s="38"/>
      <c r="BN11" s="19"/>
      <c r="BO11" s="19"/>
      <c r="BP11" s="16"/>
      <c r="BQ11" s="19"/>
      <c r="BR11" s="16"/>
      <c r="BS11" s="19"/>
      <c r="BT11" s="16"/>
      <c r="BU11" s="38"/>
      <c r="BV11" s="16"/>
      <c r="BW11" s="38"/>
      <c r="BX11" s="20"/>
      <c r="BY11" s="19"/>
      <c r="BZ11" s="16"/>
      <c r="CA11" s="19"/>
      <c r="CB11" s="16"/>
      <c r="CC11" s="19"/>
      <c r="CD11" s="16"/>
      <c r="CE11" s="38"/>
      <c r="CF11" s="16"/>
      <c r="CG11" s="38"/>
      <c r="CH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46"/>
      <c r="DA11" s="16"/>
      <c r="DB11" s="46"/>
      <c r="DC11" s="45"/>
      <c r="DD11" s="2"/>
      <c r="DE11" s="2"/>
      <c r="DH11" s="1"/>
      <c r="DI11" s="6"/>
      <c r="DJ11" s="2"/>
      <c r="DL11" s="8"/>
      <c r="DN11" s="8"/>
      <c r="DO11" s="8"/>
      <c r="DP11" s="8"/>
      <c r="DQ11" s="8"/>
      <c r="DR11" s="8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5"/>
      <c r="EE11" s="1"/>
      <c r="EG11" s="1"/>
      <c r="EI11" s="1"/>
      <c r="EJ11" s="1"/>
      <c r="EK11" s="2"/>
      <c r="EL11" s="2"/>
      <c r="EN11" s="7"/>
      <c r="EP11" s="7"/>
      <c r="ER11" s="7"/>
      <c r="ET11" s="7"/>
      <c r="EU11" s="7"/>
      <c r="EV11" s="7"/>
      <c r="EW11" s="7"/>
      <c r="EY11" s="7"/>
      <c r="FA11" s="7"/>
      <c r="FC11" s="7"/>
      <c r="FE11" s="7"/>
      <c r="FF11" s="7"/>
      <c r="FG11" s="7"/>
      <c r="FH11" s="7"/>
      <c r="FJ11" s="7"/>
      <c r="FL11" s="7"/>
      <c r="FN11" s="7"/>
      <c r="FP11" s="7"/>
      <c r="FR11" s="7"/>
      <c r="FS11" s="7"/>
      <c r="FT11" s="7"/>
      <c r="FU11" s="7"/>
      <c r="FW11" s="7"/>
      <c r="FY11" s="7"/>
      <c r="GA11" s="7"/>
      <c r="GC11" s="7"/>
      <c r="GE11" s="7"/>
      <c r="GF11" s="7"/>
      <c r="GG11" s="7"/>
      <c r="GH11" s="7"/>
      <c r="GJ11" s="7"/>
      <c r="GL11" s="7"/>
      <c r="GN11" s="7"/>
      <c r="GP11" s="7"/>
      <c r="GQ11" s="2"/>
      <c r="GR11" s="2"/>
      <c r="GS11" s="2"/>
    </row>
    <row r="12" spans="1:204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55">
        <f t="shared" ref="L12:S12" si="0">(L7+L8+L11)/3</f>
        <v>34.630000000000003</v>
      </c>
      <c r="M12" s="55">
        <f t="shared" si="0"/>
        <v>34.153333333333336</v>
      </c>
      <c r="N12" s="55">
        <f t="shared" si="0"/>
        <v>34.776666666666664</v>
      </c>
      <c r="O12" s="55">
        <f t="shared" si="0"/>
        <v>34.520000000000003</v>
      </c>
      <c r="P12" s="55">
        <f t="shared" si="0"/>
        <v>35.44</v>
      </c>
      <c r="Q12" s="55">
        <f t="shared" si="0"/>
        <v>34.393333333333338</v>
      </c>
      <c r="R12" s="55">
        <f t="shared" si="0"/>
        <v>34.996666666666663</v>
      </c>
      <c r="S12" s="55">
        <f t="shared" si="0"/>
        <v>34.943333333333335</v>
      </c>
      <c r="T12" s="55"/>
      <c r="U12" s="37"/>
      <c r="V12" s="37"/>
      <c r="W12" s="19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21"/>
      <c r="AI12" s="21"/>
      <c r="AJ12" s="20"/>
      <c r="AK12" s="31"/>
      <c r="AL12" s="69">
        <f>AL11/AK13</f>
        <v>0.93659999999999988</v>
      </c>
      <c r="AM12" s="31"/>
      <c r="AN12" s="69">
        <f>AN11/AM13</f>
        <v>1.0980666666666667</v>
      </c>
      <c r="AO12" s="31"/>
      <c r="AP12" s="69">
        <f>AP11/AO13</f>
        <v>0.90060000000000007</v>
      </c>
      <c r="AQ12" s="31"/>
      <c r="AR12" s="69">
        <f>AR11/AQ13</f>
        <v>0.82299999999999995</v>
      </c>
      <c r="AS12" s="31"/>
      <c r="AT12" s="69">
        <f>AT11/AS13</f>
        <v>0.91174999999999995</v>
      </c>
      <c r="AU12" s="2">
        <f>AVERAGE(AL12,AN12,AP12,AR12,AT12)</f>
        <v>0.9340033333333333</v>
      </c>
      <c r="AV12" s="31"/>
      <c r="AW12" s="31"/>
      <c r="AX12" s="31"/>
      <c r="AY12" s="31"/>
      <c r="AZ12" s="31"/>
      <c r="BA12" s="31"/>
      <c r="BB12" s="31"/>
      <c r="BC12" s="31"/>
      <c r="BD12" s="20"/>
      <c r="BE12" s="66"/>
      <c r="BF12" s="66"/>
      <c r="BG12" s="66"/>
      <c r="BH12" s="66"/>
      <c r="BI12" s="66"/>
      <c r="BJ12" s="66"/>
      <c r="BK12" s="21"/>
      <c r="BL12" s="66"/>
      <c r="BM12" s="66"/>
      <c r="BN12" s="21"/>
      <c r="BO12" s="66"/>
      <c r="BP12" s="66"/>
      <c r="BQ12" s="66"/>
      <c r="BR12" s="66"/>
      <c r="BS12" s="66"/>
      <c r="BT12" s="66"/>
      <c r="BU12" s="21"/>
      <c r="BV12" s="66"/>
      <c r="BW12" s="66"/>
      <c r="BX12" s="16"/>
      <c r="BY12" s="66"/>
      <c r="BZ12" s="66"/>
      <c r="CA12" s="66"/>
      <c r="CB12" s="66"/>
      <c r="CC12" s="66"/>
      <c r="CD12" s="66"/>
      <c r="CE12" s="21"/>
      <c r="CF12" s="66"/>
      <c r="CG12" s="66"/>
      <c r="CH12" s="16"/>
      <c r="CM12" s="20"/>
      <c r="CN12" s="19"/>
      <c r="CO12" s="20"/>
      <c r="CP12" s="16"/>
      <c r="CQ12" s="20"/>
      <c r="CR12" s="16"/>
      <c r="CS12" s="20"/>
      <c r="CT12" s="16"/>
      <c r="CU12" s="20"/>
      <c r="CV12" s="19"/>
      <c r="CW12" s="20"/>
      <c r="CX12" s="16"/>
      <c r="CY12" s="20"/>
      <c r="CZ12" s="16"/>
      <c r="DA12" s="16"/>
      <c r="DB12" s="16"/>
      <c r="DC12" s="16"/>
      <c r="DI12" s="6"/>
      <c r="DJ12" s="2"/>
      <c r="DL12" s="8"/>
      <c r="DN12" s="8"/>
      <c r="DO12" s="8"/>
      <c r="DP12" s="8"/>
      <c r="DQ12" s="8"/>
      <c r="DR12" s="8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P12" s="5"/>
      <c r="EZ12" s="2"/>
    </row>
    <row r="13" spans="1:204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>
        <v>40</v>
      </c>
      <c r="T13" s="55"/>
      <c r="U13" s="37"/>
      <c r="V13" s="37"/>
      <c r="W13" s="19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2"/>
      <c r="AI13" s="22"/>
      <c r="AJ13" s="44"/>
      <c r="AK13" s="32">
        <v>1000</v>
      </c>
      <c r="AL13" s="59"/>
      <c r="AM13" s="59">
        <v>3000</v>
      </c>
      <c r="AN13" s="59"/>
      <c r="AO13" s="59">
        <v>4000</v>
      </c>
      <c r="AP13" s="59"/>
      <c r="AQ13" s="59">
        <v>6000</v>
      </c>
      <c r="AR13" s="59"/>
      <c r="AS13" s="59">
        <v>8000</v>
      </c>
      <c r="AT13" s="32"/>
      <c r="AU13" s="22"/>
      <c r="AV13" s="32"/>
      <c r="AW13" s="32"/>
      <c r="AX13" s="32"/>
      <c r="AY13" s="32"/>
      <c r="AZ13" s="32"/>
      <c r="BA13" s="32"/>
      <c r="BB13" s="32"/>
      <c r="BC13" s="32"/>
      <c r="BD13" s="44"/>
      <c r="BE13" s="67"/>
      <c r="BF13" s="67"/>
      <c r="BG13" s="67"/>
      <c r="BH13" s="67"/>
      <c r="BI13" s="67"/>
      <c r="BJ13" s="67"/>
      <c r="BK13" s="22"/>
      <c r="BL13" s="67"/>
      <c r="BM13" s="67"/>
      <c r="BN13" s="22"/>
      <c r="BO13" s="67"/>
      <c r="BP13" s="67"/>
      <c r="BQ13" s="67"/>
      <c r="BR13" s="67"/>
      <c r="BS13" s="67"/>
      <c r="BT13" s="67"/>
      <c r="BU13" s="22"/>
      <c r="BV13" s="67"/>
      <c r="BW13" s="67"/>
      <c r="BX13" s="19"/>
      <c r="BY13" s="67"/>
      <c r="BZ13" s="67"/>
      <c r="CA13" s="67"/>
      <c r="CB13" s="67"/>
      <c r="CC13" s="67"/>
      <c r="CD13" s="67"/>
      <c r="CE13" s="22"/>
      <c r="CF13" s="67"/>
      <c r="CG13" s="67"/>
      <c r="CH13" s="16"/>
      <c r="CM13" s="44"/>
      <c r="CN13" s="16"/>
      <c r="CO13" s="44"/>
      <c r="CP13" s="16"/>
      <c r="CQ13" s="44"/>
      <c r="CR13" s="16"/>
      <c r="CS13" s="44"/>
      <c r="CT13" s="16"/>
      <c r="CU13" s="44"/>
      <c r="CV13" s="16"/>
      <c r="CW13" s="44"/>
      <c r="CX13" s="16"/>
      <c r="CY13" s="44"/>
      <c r="CZ13" s="19"/>
      <c r="DA13" s="19"/>
      <c r="DB13" s="19"/>
      <c r="DC13" s="19"/>
      <c r="DD13" s="1"/>
      <c r="DE13" s="1"/>
      <c r="DI13" s="6"/>
      <c r="DJ13" s="2"/>
      <c r="DL13" s="8"/>
      <c r="DN13" s="8"/>
      <c r="DO13" s="8"/>
      <c r="DP13" s="8"/>
      <c r="DQ13" s="8"/>
      <c r="DR13" s="8"/>
      <c r="DS13" s="14"/>
      <c r="DT13" s="15"/>
      <c r="DU13" s="15"/>
      <c r="DV13" s="15"/>
      <c r="DW13" s="15"/>
      <c r="DX13" s="15"/>
      <c r="DY13" s="15"/>
      <c r="DZ13" s="15"/>
      <c r="EA13" s="14"/>
      <c r="EB13" s="14"/>
      <c r="EC13" s="14"/>
      <c r="EF13" s="2"/>
      <c r="EX13" s="2"/>
    </row>
    <row r="14" spans="1:204" ht="15.75" x14ac:dyDescent="0.25">
      <c r="A14" t="s">
        <v>11</v>
      </c>
      <c r="B14" s="30">
        <f>ABS(B11-B13)/B13</f>
        <v>0.2205</v>
      </c>
      <c r="C14" s="33"/>
      <c r="D14" s="29">
        <f>ABS(D11-D13)/D13</f>
        <v>0.45474999999999993</v>
      </c>
      <c r="E14" s="34"/>
      <c r="F14" s="30">
        <f>ABS(F11-F13)/F13</f>
        <v>0.13700000000000009</v>
      </c>
      <c r="G14" s="34"/>
      <c r="H14" s="34"/>
      <c r="I14" s="34"/>
      <c r="J14" s="34"/>
      <c r="K14" s="38"/>
      <c r="L14" s="30">
        <f t="shared" ref="L14:S14" si="1">(L12-L13)/L13</f>
        <v>-0.13424999999999992</v>
      </c>
      <c r="M14" s="30">
        <f t="shared" si="1"/>
        <v>-0.14616666666666661</v>
      </c>
      <c r="N14" s="30">
        <f t="shared" si="1"/>
        <v>-0.13058333333333341</v>
      </c>
      <c r="O14" s="30">
        <f t="shared" si="1"/>
        <v>-0.13699999999999993</v>
      </c>
      <c r="P14" s="30">
        <f t="shared" si="1"/>
        <v>-0.11400000000000006</v>
      </c>
      <c r="Q14" s="30">
        <f t="shared" si="1"/>
        <v>-0.14016666666666655</v>
      </c>
      <c r="R14" s="30">
        <f t="shared" si="1"/>
        <v>-0.12508333333333344</v>
      </c>
      <c r="S14" s="54">
        <f t="shared" si="1"/>
        <v>-0.12641666666666662</v>
      </c>
      <c r="T14" s="56"/>
      <c r="U14" s="19"/>
      <c r="V14" s="19"/>
      <c r="W14" s="19"/>
      <c r="X14" s="49"/>
      <c r="Y14" s="23"/>
      <c r="Z14" s="49"/>
      <c r="AA14" s="38"/>
      <c r="AB14" s="49"/>
      <c r="AC14" s="38"/>
      <c r="AD14" s="38"/>
      <c r="AE14" s="38"/>
      <c r="AF14" s="38"/>
      <c r="AG14" s="38"/>
      <c r="AH14" s="38"/>
      <c r="AI14" s="38"/>
      <c r="AJ14" s="16"/>
      <c r="AK14" s="72">
        <f>ABS(AL11-AK13)/AK13</f>
        <v>6.3400000000000095E-2</v>
      </c>
      <c r="AL14" s="61"/>
      <c r="AM14" s="72">
        <f>ABS(AN11-AM13)/AM13</f>
        <v>9.806666666666676E-2</v>
      </c>
      <c r="AN14" s="62"/>
      <c r="AO14" s="72">
        <f>ABS(AP11-AO13)/AO13</f>
        <v>9.9399999999999974E-2</v>
      </c>
      <c r="AP14" s="62"/>
      <c r="AQ14" s="72">
        <f>ABS(AR11-AQ13)/AQ13</f>
        <v>0.17699999999999999</v>
      </c>
      <c r="AR14" s="62"/>
      <c r="AS14" s="72">
        <f>ABS(AT11-AS13)/AS13</f>
        <v>8.8249999999999995E-2</v>
      </c>
      <c r="AT14" s="16"/>
      <c r="AU14" s="45"/>
      <c r="AV14" s="38"/>
      <c r="AW14" s="36"/>
      <c r="AX14" s="38"/>
      <c r="AY14" s="36"/>
      <c r="AZ14" s="38"/>
      <c r="BA14" s="38"/>
      <c r="BB14" s="38"/>
      <c r="BC14" s="38"/>
      <c r="BD14" s="16"/>
      <c r="BE14" s="23"/>
      <c r="BF14" s="23"/>
      <c r="BG14" s="38"/>
      <c r="BH14" s="38"/>
      <c r="BI14" s="38"/>
      <c r="BJ14" s="38"/>
      <c r="BK14" s="38"/>
      <c r="BL14" s="38"/>
      <c r="BM14" s="38"/>
      <c r="BN14" s="20"/>
      <c r="BO14" s="23"/>
      <c r="BP14" s="23"/>
      <c r="BQ14" s="23"/>
      <c r="BR14" s="38"/>
      <c r="BS14" s="23"/>
      <c r="BT14" s="38"/>
      <c r="BU14" s="38"/>
      <c r="BV14" s="38"/>
      <c r="BW14" s="38"/>
      <c r="BX14" s="16"/>
      <c r="BY14" s="38"/>
      <c r="BZ14" s="23"/>
      <c r="CA14" s="38"/>
      <c r="CB14" s="38"/>
      <c r="CC14" s="38"/>
      <c r="CD14" s="38"/>
      <c r="CE14" s="38"/>
      <c r="CF14" s="38"/>
      <c r="CG14" s="38"/>
      <c r="CH14" s="16"/>
      <c r="CM14" s="19"/>
      <c r="CN14" s="19"/>
      <c r="CO14" s="19"/>
      <c r="CP14" s="19"/>
      <c r="CQ14" s="19"/>
      <c r="CR14" s="19"/>
      <c r="CS14" s="19"/>
      <c r="CT14" s="16"/>
      <c r="CU14" s="16"/>
      <c r="CV14" s="16"/>
      <c r="CW14" s="47"/>
      <c r="CX14" s="16"/>
      <c r="CY14" s="16"/>
      <c r="CZ14" s="16"/>
      <c r="DA14" s="16"/>
      <c r="DB14" s="16"/>
      <c r="DC14" s="16"/>
      <c r="DI14" s="6"/>
      <c r="DJ14" s="2"/>
      <c r="DL14" s="8"/>
      <c r="DN14" s="8"/>
      <c r="DO14" s="8"/>
      <c r="DP14" s="8"/>
      <c r="DQ14" s="8"/>
      <c r="DR14" s="8"/>
      <c r="DS14" s="14"/>
      <c r="DT14" s="42"/>
      <c r="DU14" s="42"/>
      <c r="DV14" s="42"/>
      <c r="DW14" s="42"/>
      <c r="DX14" s="42"/>
      <c r="DY14" s="42"/>
      <c r="DZ14" s="42"/>
      <c r="EA14" s="15"/>
      <c r="EB14" s="14"/>
      <c r="EC14" s="14"/>
    </row>
    <row r="15" spans="1:204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V15" s="35"/>
      <c r="W15" s="68" t="s">
        <v>79</v>
      </c>
      <c r="X15" s="30">
        <f>AVERAGE(Y8,Y19)</f>
        <v>0.90401703752662099</v>
      </c>
      <c r="Y15" s="71"/>
      <c r="Z15" s="30">
        <f>AVERAGE(AA8,AA19)</f>
        <v>0.90196078431372539</v>
      </c>
      <c r="AA15" s="71"/>
      <c r="AB15" s="30">
        <f>AVERAGE(AC8,AC19)</f>
        <v>0.93427333480208552</v>
      </c>
      <c r="AC15" s="71"/>
      <c r="AD15" s="30">
        <f>AVERAGE(AE8,AE19)</f>
        <v>0.93985459352280221</v>
      </c>
      <c r="AE15" s="71"/>
      <c r="AF15" s="30">
        <f>AVERAGE(AG8,AG19)</f>
        <v>0.85393258426966279</v>
      </c>
      <c r="AG15" s="16"/>
      <c r="AH15" s="16"/>
      <c r="AI15" s="16"/>
      <c r="AJ15" s="68" t="s">
        <v>129</v>
      </c>
      <c r="AK15" s="103">
        <f>AVERAGE(AL11,AL22)</f>
        <v>713.39999999999986</v>
      </c>
      <c r="AL15" s="71"/>
      <c r="AM15" s="103">
        <f>AVERAGE(AN11,AN22)</f>
        <v>2290.4</v>
      </c>
      <c r="AN15" s="71"/>
      <c r="AO15" s="103">
        <f>AVERAGE(AP11,AP22)</f>
        <v>2972.2</v>
      </c>
      <c r="AP15" s="71"/>
      <c r="AQ15" s="103">
        <f>AVERAGE(AR11,AR22)</f>
        <v>4289.6000000000004</v>
      </c>
      <c r="AR15" s="71"/>
      <c r="AS15" s="103">
        <f>AVERAGE(AT11,AT22)</f>
        <v>6119</v>
      </c>
      <c r="AT15" s="16"/>
      <c r="AU15" s="16"/>
      <c r="AV15" s="16"/>
      <c r="AW15" s="16"/>
      <c r="AX15" s="16"/>
      <c r="AY15" s="20"/>
      <c r="AZ15" s="16"/>
      <c r="BA15" s="16"/>
      <c r="BB15" s="16"/>
      <c r="BC15" s="16"/>
      <c r="BD15" s="16"/>
      <c r="BE15" s="16"/>
      <c r="BF15" s="16"/>
      <c r="BG15" s="19"/>
      <c r="BH15" s="19"/>
      <c r="BI15" s="19"/>
      <c r="BJ15" s="19"/>
      <c r="BK15" s="19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20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I15" s="6"/>
      <c r="DJ15" s="2"/>
      <c r="DL15" s="8"/>
      <c r="DN15" s="8"/>
      <c r="DO15" s="8"/>
      <c r="DP15" s="8"/>
      <c r="DQ15" s="8"/>
      <c r="DR15" s="8"/>
      <c r="DS15" s="14"/>
      <c r="DT15" s="42"/>
      <c r="DU15" s="42"/>
      <c r="DV15" s="42"/>
      <c r="DW15" s="42"/>
      <c r="DX15" s="42"/>
      <c r="DY15" s="42"/>
      <c r="DZ15" s="42"/>
      <c r="EA15" s="14"/>
      <c r="EB15" s="14"/>
      <c r="EC15" s="14"/>
    </row>
    <row r="16" spans="1:204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9"/>
      <c r="BH16" s="19"/>
      <c r="BI16" s="19"/>
      <c r="BJ16" s="19"/>
      <c r="BK16" s="19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I16" s="6"/>
      <c r="DJ16" s="2"/>
      <c r="DL16" s="8"/>
      <c r="DN16" s="8"/>
      <c r="DO16" s="8"/>
      <c r="DP16" s="8"/>
      <c r="DQ16" s="8"/>
      <c r="DR16" s="8"/>
      <c r="DS16" s="14"/>
      <c r="DT16" s="42"/>
      <c r="DU16" s="42"/>
      <c r="DV16" s="42"/>
      <c r="DW16" s="42"/>
      <c r="DX16" s="42"/>
      <c r="DY16" s="42"/>
      <c r="DZ16" s="42"/>
      <c r="EA16" s="14"/>
      <c r="EB16" s="14"/>
      <c r="EC16" s="14"/>
    </row>
    <row r="17" spans="1:133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57"/>
      <c r="R17" s="17"/>
      <c r="S17" s="18"/>
      <c r="T17" s="17"/>
      <c r="U17" s="17"/>
      <c r="V17" s="17"/>
      <c r="W17" s="18"/>
      <c r="X17" s="24" t="s">
        <v>61</v>
      </c>
      <c r="Y17" s="25" t="s">
        <v>16</v>
      </c>
      <c r="Z17" s="26" t="s">
        <v>62</v>
      </c>
      <c r="AA17" s="25" t="s">
        <v>16</v>
      </c>
      <c r="AB17" s="26" t="s">
        <v>63</v>
      </c>
      <c r="AC17" s="25" t="s">
        <v>16</v>
      </c>
      <c r="AD17" s="26" t="s">
        <v>64</v>
      </c>
      <c r="AE17" s="25" t="s">
        <v>16</v>
      </c>
      <c r="AF17" s="26" t="s">
        <v>65</v>
      </c>
      <c r="AG17" s="25" t="s">
        <v>16</v>
      </c>
      <c r="AH17" s="17"/>
      <c r="AI17" s="17"/>
      <c r="AJ17" s="18"/>
      <c r="AK17" s="24" t="s">
        <v>66</v>
      </c>
      <c r="AL17" s="25" t="s">
        <v>16</v>
      </c>
      <c r="AM17" s="26" t="s">
        <v>67</v>
      </c>
      <c r="AN17" s="25" t="s">
        <v>16</v>
      </c>
      <c r="AO17" s="26" t="s">
        <v>68</v>
      </c>
      <c r="AP17" s="25" t="s">
        <v>16</v>
      </c>
      <c r="AQ17" s="26" t="s">
        <v>69</v>
      </c>
      <c r="AR17" s="25" t="s">
        <v>16</v>
      </c>
      <c r="AS17" s="26" t="s">
        <v>70</v>
      </c>
      <c r="AT17" s="25" t="s">
        <v>16</v>
      </c>
      <c r="AU17" s="17"/>
      <c r="AV17" s="18"/>
      <c r="AW17" s="60" t="s">
        <v>8</v>
      </c>
      <c r="AX17" s="18"/>
      <c r="AY17" s="60"/>
      <c r="AZ17" s="18"/>
      <c r="BA17" s="17"/>
      <c r="BB17" s="17"/>
      <c r="BC17" s="17"/>
      <c r="BD17" s="18"/>
      <c r="BE17" s="63"/>
      <c r="BF17" s="18"/>
      <c r="BG17" s="64"/>
      <c r="BH17" s="18"/>
      <c r="BI17" s="64"/>
      <c r="BJ17" s="18"/>
      <c r="BK17" s="17"/>
      <c r="BL17" s="63"/>
      <c r="BM17" s="63"/>
      <c r="BN17" s="17"/>
      <c r="BO17" s="65"/>
      <c r="BP17" s="18"/>
      <c r="BQ17" s="64"/>
      <c r="BR17" s="18"/>
      <c r="BS17" s="64"/>
      <c r="BT17" s="18"/>
      <c r="BU17" s="17"/>
      <c r="BV17" s="63"/>
      <c r="BW17" s="63"/>
      <c r="BX17" s="16"/>
      <c r="BY17" s="65"/>
      <c r="BZ17" s="18"/>
      <c r="CA17" s="64"/>
      <c r="CB17" s="18"/>
      <c r="CC17" s="64"/>
      <c r="CD17" s="18"/>
      <c r="CE17" s="17"/>
      <c r="CF17" s="63"/>
      <c r="CG17" s="63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I17" s="6"/>
      <c r="DJ17" s="2"/>
      <c r="DL17" s="8"/>
      <c r="DN17" s="8"/>
      <c r="DO17" s="8"/>
      <c r="DP17" s="8"/>
      <c r="DQ17" s="8"/>
      <c r="DR17" s="8"/>
      <c r="DS17" s="14"/>
      <c r="DT17" s="42"/>
      <c r="DU17" s="42"/>
      <c r="DV17" s="42"/>
      <c r="DW17" s="42"/>
      <c r="DX17" s="42"/>
      <c r="DY17" s="42"/>
      <c r="DZ17" s="42"/>
      <c r="EA17" s="14"/>
      <c r="EB17" s="14"/>
      <c r="EC17" s="14"/>
    </row>
    <row r="18" spans="1:133" x14ac:dyDescent="0.25">
      <c r="B18" s="12">
        <v>0.57999999999999996</v>
      </c>
      <c r="C18" s="29">
        <f>B18/AVERAGE($N7,$M7,$R7,$Q7)</f>
        <v>1.6642754662840743E-2</v>
      </c>
      <c r="D18" s="12">
        <v>1.1599999999999999</v>
      </c>
      <c r="E18" s="29">
        <f>D18/AVERAGE($N7,$M7,$R7,$Q7)</f>
        <v>3.3285509325681487E-2</v>
      </c>
      <c r="F18" s="12">
        <v>1.18</v>
      </c>
      <c r="G18" s="29">
        <f>F18/AVERAGE($N7,$M7,$R7,$Q7)</f>
        <v>3.3859397417503587E-2</v>
      </c>
      <c r="H18" s="33"/>
      <c r="I18" s="12">
        <f>AVERAGE(B18,D18,F18)</f>
        <v>0.97333333333333327</v>
      </c>
      <c r="J18" s="29">
        <f>STDEV(B18,D18,F18)/I18</f>
        <v>0.35011994298991955</v>
      </c>
      <c r="K18" s="1"/>
      <c r="L18" s="58"/>
      <c r="M18" s="58"/>
      <c r="N18" s="58"/>
      <c r="O18" s="58"/>
      <c r="P18" s="58"/>
      <c r="Q18" s="58"/>
      <c r="R18" s="1"/>
      <c r="T18" s="38"/>
      <c r="U18" s="38"/>
      <c r="V18" s="38"/>
      <c r="W18" s="16"/>
      <c r="X18" s="12">
        <v>0.94</v>
      </c>
      <c r="Y18" s="29">
        <f>X18/AVERAGE($N7,$M7,$R7,$Q7)</f>
        <v>2.6972740315638448E-2</v>
      </c>
      <c r="Z18" s="12">
        <v>0.88</v>
      </c>
      <c r="AA18" s="29">
        <f>Z18/AVERAGE($N7,$M7,$R7,$Q7)</f>
        <v>2.5251076040172165E-2</v>
      </c>
      <c r="AB18" s="12">
        <v>0.99</v>
      </c>
      <c r="AC18" s="29">
        <f>AB18/AVERAGE($N7,$M7,$R7,$Q7)</f>
        <v>2.8407460545193684E-2</v>
      </c>
      <c r="AD18" s="12">
        <v>2.74</v>
      </c>
      <c r="AE18" s="29">
        <f>AD18/AVERAGE($N7,$M7,$R7,$Q7)</f>
        <v>7.8622668579626978E-2</v>
      </c>
      <c r="AF18" s="12">
        <v>0.9</v>
      </c>
      <c r="AG18" s="29">
        <f>AF18/AVERAGE($N7,$M7,$R7,$Q7)</f>
        <v>2.5824964131994262E-2</v>
      </c>
      <c r="AH18" s="16"/>
      <c r="AI18" s="38"/>
      <c r="AJ18" s="20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43"/>
      <c r="AV18" s="23"/>
      <c r="AW18" s="16"/>
      <c r="AX18" s="23"/>
      <c r="AY18" s="16"/>
      <c r="AZ18" s="23"/>
      <c r="BA18" s="23"/>
      <c r="BB18" s="16"/>
      <c r="BC18" s="38"/>
      <c r="BD18" s="20"/>
      <c r="BE18" s="43"/>
      <c r="BF18" s="23"/>
      <c r="BG18" s="16"/>
      <c r="BH18" s="23"/>
      <c r="BI18" s="16"/>
      <c r="BJ18" s="23"/>
      <c r="BK18" s="23"/>
      <c r="BL18" s="16"/>
      <c r="BM18" s="38"/>
      <c r="BN18" s="16"/>
      <c r="BO18" s="43"/>
      <c r="BP18" s="23"/>
      <c r="BQ18" s="16"/>
      <c r="BR18" s="23"/>
      <c r="BS18" s="16"/>
      <c r="BT18" s="23"/>
      <c r="BU18" s="23"/>
      <c r="BV18" s="16"/>
      <c r="BW18" s="38"/>
      <c r="BX18" s="20"/>
      <c r="BY18" s="43"/>
      <c r="BZ18" s="23"/>
      <c r="CA18" s="16"/>
      <c r="CB18" s="23"/>
      <c r="CC18" s="16"/>
      <c r="CD18" s="23"/>
      <c r="CE18" s="23"/>
      <c r="CF18" s="16"/>
      <c r="CG18" s="38"/>
      <c r="CR18" s="2"/>
      <c r="DI18" s="6"/>
      <c r="DJ18" s="2"/>
      <c r="DL18" s="8"/>
      <c r="DN18" s="8"/>
      <c r="DO18" s="8"/>
      <c r="DP18" s="8"/>
      <c r="DQ18" s="8"/>
      <c r="DR18" s="8"/>
      <c r="DS18" s="14"/>
      <c r="DT18" s="42"/>
      <c r="DU18" s="42"/>
      <c r="DV18" s="42"/>
      <c r="DW18" s="42"/>
      <c r="DX18" s="42"/>
      <c r="DY18" s="42"/>
      <c r="DZ18" s="42"/>
      <c r="EA18" s="14"/>
      <c r="EB18" s="14"/>
      <c r="EC18" s="14"/>
    </row>
    <row r="19" spans="1:133" x14ac:dyDescent="0.25">
      <c r="B19" s="12">
        <v>19.12</v>
      </c>
      <c r="C19" s="29">
        <f>B19/AVERAGE($N8,$M8,$R8,$Q8)</f>
        <v>0.56165087757949617</v>
      </c>
      <c r="D19" s="12">
        <v>31.17</v>
      </c>
      <c r="E19" s="30">
        <f>D19/AVERAGE($N8,$M8,$R8,$Q8)</f>
        <v>0.91562018065653217</v>
      </c>
      <c r="F19" s="12">
        <v>30.92</v>
      </c>
      <c r="G19" s="30">
        <f>F19/AVERAGE($N8,$M8,$R8,$Q8)</f>
        <v>0.90827641918190494</v>
      </c>
      <c r="H19" s="34"/>
      <c r="I19" s="12">
        <f>AVERAGE(B19,D19,F19)</f>
        <v>27.070000000000004</v>
      </c>
      <c r="J19" s="30">
        <f>STDEV(B19,D19,F19)/I19</f>
        <v>0.25437889161044047</v>
      </c>
      <c r="K19" s="11"/>
      <c r="L19" s="58"/>
      <c r="M19" s="58"/>
      <c r="N19" s="58"/>
      <c r="O19" s="58"/>
      <c r="P19" s="58"/>
      <c r="Q19" s="58"/>
      <c r="T19" s="38"/>
      <c r="U19" s="38"/>
      <c r="V19" s="38"/>
      <c r="W19" s="16"/>
      <c r="X19" s="12">
        <v>30.24</v>
      </c>
      <c r="Y19" s="30">
        <f>X19/AVERAGE($N8,$M8,$R8,$Q8)</f>
        <v>0.88830138797091851</v>
      </c>
      <c r="Z19" s="12">
        <v>27.87</v>
      </c>
      <c r="AA19" s="30">
        <f>Z19/AVERAGE($N8,$M8,$R8,$Q8)</f>
        <v>0.81868252919145179</v>
      </c>
      <c r="AB19" s="12">
        <v>33.03</v>
      </c>
      <c r="AC19" s="30">
        <f>AB19/AVERAGE($N8,$M8,$R8,$Q8)</f>
        <v>0.97025776602775937</v>
      </c>
      <c r="AD19" s="12">
        <v>33.42</v>
      </c>
      <c r="AE19" s="30">
        <f>AD19/AVERAGE($N8,$M8,$R8,$Q8)</f>
        <v>0.98171403392817791</v>
      </c>
      <c r="AF19" s="12">
        <v>31.12</v>
      </c>
      <c r="AG19" s="30">
        <f>AF19/AVERAGE($N8,$M8,$R8,$Q8)</f>
        <v>0.91415142836160679</v>
      </c>
      <c r="AH19" s="16"/>
      <c r="AI19" s="23"/>
      <c r="AJ19" s="20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43"/>
      <c r="AV19" s="38"/>
      <c r="AW19" s="16"/>
      <c r="AX19" s="38"/>
      <c r="AY19" s="16"/>
      <c r="AZ19" s="38"/>
      <c r="BA19" s="38"/>
      <c r="BB19" s="16"/>
      <c r="BC19" s="38"/>
      <c r="BD19" s="20"/>
      <c r="BE19" s="43"/>
      <c r="BF19" s="38"/>
      <c r="BG19" s="16"/>
      <c r="BH19" s="38"/>
      <c r="BI19" s="16"/>
      <c r="BJ19" s="38"/>
      <c r="BK19" s="38"/>
      <c r="BL19" s="16"/>
      <c r="BM19" s="38"/>
      <c r="BN19" s="16"/>
      <c r="BO19" s="43"/>
      <c r="BP19" s="23"/>
      <c r="BQ19" s="16"/>
      <c r="BR19" s="23"/>
      <c r="BS19" s="16"/>
      <c r="BT19" s="23"/>
      <c r="BU19" s="38"/>
      <c r="BV19" s="16"/>
      <c r="BW19" s="38"/>
      <c r="BX19" s="20"/>
      <c r="BY19" s="43"/>
      <c r="BZ19" s="23"/>
      <c r="CA19" s="16"/>
      <c r="CB19" s="23"/>
      <c r="CC19" s="16"/>
      <c r="CD19" s="23"/>
      <c r="CE19" s="38"/>
      <c r="CF19" s="16"/>
      <c r="CG19" s="38"/>
      <c r="DG19" s="10"/>
      <c r="DH19" s="10"/>
      <c r="DI19" s="10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</row>
    <row r="20" spans="1:133" x14ac:dyDescent="0.25">
      <c r="A20" t="s">
        <v>0</v>
      </c>
      <c r="B20" s="12">
        <v>13.63</v>
      </c>
      <c r="C20" s="30">
        <f>B20/AVERAGE($N9,$M9,$R9,$Q9)</f>
        <v>1.1816211530125704</v>
      </c>
      <c r="D20" s="12">
        <v>10.64</v>
      </c>
      <c r="E20" s="30">
        <f>D20/AVERAGE($N9,$M9,$R9,$Q9)</f>
        <v>0.92241005635023843</v>
      </c>
      <c r="F20" s="12">
        <v>14.87</v>
      </c>
      <c r="G20" s="30">
        <f>F20/AVERAGE($N9,$M9,$R9,$Q9)</f>
        <v>1.2891200693541396</v>
      </c>
      <c r="H20" s="34"/>
      <c r="I20" s="12">
        <f>AVERAGE(B20,D20,F20)</f>
        <v>13.046666666666667</v>
      </c>
      <c r="J20" s="30">
        <f>STDEV(B20,D20,F20)/I20</f>
        <v>0.16667062674093674</v>
      </c>
      <c r="L20" s="58"/>
      <c r="M20" s="58"/>
      <c r="N20" s="58"/>
      <c r="O20" s="58"/>
      <c r="P20" s="58"/>
      <c r="Q20" s="58"/>
      <c r="T20" s="38"/>
      <c r="U20" s="38"/>
      <c r="V20" s="38"/>
      <c r="W20" s="16"/>
      <c r="X20" s="28"/>
      <c r="Y20" s="12"/>
      <c r="Z20" s="12"/>
      <c r="AA20" s="12"/>
      <c r="AB20" s="12"/>
      <c r="AC20" s="12"/>
      <c r="AD20" s="12"/>
      <c r="AE20" s="12"/>
      <c r="AF20" s="12"/>
      <c r="AG20" s="12"/>
      <c r="AH20" s="16"/>
      <c r="AI20" s="45"/>
      <c r="AJ20" s="43"/>
      <c r="AK20" s="28">
        <v>11.2</v>
      </c>
      <c r="AL20" s="12">
        <f>AK20/0.5*10</f>
        <v>224</v>
      </c>
      <c r="AM20" s="12">
        <v>31.54</v>
      </c>
      <c r="AN20" s="12">
        <f>AM20/0.5*10</f>
        <v>630.79999999999995</v>
      </c>
      <c r="AO20" s="12">
        <v>27</v>
      </c>
      <c r="AP20" s="12">
        <f>AO20/0.5*20</f>
        <v>1080</v>
      </c>
      <c r="AQ20" s="12">
        <v>39.68</v>
      </c>
      <c r="AR20" s="12">
        <f>AQ20/0.5*20</f>
        <v>1587.2</v>
      </c>
      <c r="AS20" s="12">
        <v>10.79</v>
      </c>
      <c r="AT20" s="12">
        <f>AS20/0.5*100</f>
        <v>2158</v>
      </c>
      <c r="AU20" s="45"/>
      <c r="AV20" s="45"/>
      <c r="AW20" s="45"/>
      <c r="AX20" s="45"/>
      <c r="AY20" s="45"/>
      <c r="AZ20" s="45"/>
      <c r="BA20" s="45"/>
      <c r="BB20" s="16"/>
      <c r="BC20" s="45"/>
      <c r="BD20" s="19"/>
      <c r="BE20" s="43"/>
      <c r="BF20" s="16"/>
      <c r="BG20" s="16"/>
      <c r="BH20" s="16"/>
      <c r="BI20" s="16"/>
      <c r="BJ20" s="16"/>
      <c r="BK20" s="38"/>
      <c r="BL20" s="16"/>
      <c r="BM20" s="38"/>
      <c r="BN20" s="16"/>
      <c r="BO20" s="43"/>
      <c r="BP20" s="16"/>
      <c r="BQ20" s="16"/>
      <c r="BR20" s="16"/>
      <c r="BS20" s="16"/>
      <c r="BT20" s="16"/>
      <c r="BU20" s="38"/>
      <c r="BV20" s="16"/>
      <c r="BW20" s="38"/>
      <c r="BX20" s="20"/>
      <c r="BY20" s="43"/>
      <c r="BZ20" s="16"/>
      <c r="CA20" s="16"/>
      <c r="CB20" s="16"/>
      <c r="CC20" s="16"/>
      <c r="CD20" s="16"/>
      <c r="CE20" s="38"/>
      <c r="CF20" s="16"/>
      <c r="CG20" s="38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</row>
    <row r="21" spans="1:133" x14ac:dyDescent="0.25">
      <c r="B21" s="12">
        <v>26.69</v>
      </c>
      <c r="C21" s="30">
        <f>B21/AVERAGE($N10,$M10,$R10,$Q10)</f>
        <v>1.1448793565683646</v>
      </c>
      <c r="D21" s="12">
        <v>19.3</v>
      </c>
      <c r="E21" s="30">
        <f>D21/AVERAGE($N10,$M10,$R10,$Q10)</f>
        <v>0.82788203753351208</v>
      </c>
      <c r="F21" s="12">
        <v>26.9</v>
      </c>
      <c r="G21" s="30">
        <f>F21/AVERAGE($N10,$M10,$R10,$Q10)</f>
        <v>1.1538873994638068</v>
      </c>
      <c r="H21" s="34"/>
      <c r="I21" s="12">
        <f>AVERAGE(B21,D21,F21)</f>
        <v>24.296666666666667</v>
      </c>
      <c r="J21" s="30">
        <f>STDEV(B21,D21,F21)/I21</f>
        <v>0.17815258554253785</v>
      </c>
      <c r="L21" s="58"/>
      <c r="M21" s="58"/>
      <c r="N21" s="58"/>
      <c r="O21" s="58"/>
      <c r="P21" s="58"/>
      <c r="Q21" s="58"/>
      <c r="T21" s="38"/>
      <c r="U21" s="38"/>
      <c r="V21" s="38"/>
      <c r="W21" s="16"/>
      <c r="X21" s="28"/>
      <c r="Y21" s="12"/>
      <c r="Z21" s="12"/>
      <c r="AA21" s="12"/>
      <c r="AB21" s="12"/>
      <c r="AC21" s="12"/>
      <c r="AD21" s="12"/>
      <c r="AE21" s="12"/>
      <c r="AF21" s="12"/>
      <c r="AG21" s="12"/>
      <c r="AH21" s="16"/>
      <c r="AI21" s="45"/>
      <c r="AJ21" s="43"/>
      <c r="AK21" s="28">
        <v>13.31</v>
      </c>
      <c r="AL21" s="12">
        <f>AK21/0.5*10</f>
        <v>266.2</v>
      </c>
      <c r="AM21" s="12">
        <v>32.79</v>
      </c>
      <c r="AN21" s="12">
        <f>AM21/0.5*10</f>
        <v>655.8</v>
      </c>
      <c r="AO21" s="12">
        <v>31.55</v>
      </c>
      <c r="AP21" s="12">
        <f>AO21/0.5*20</f>
        <v>1262</v>
      </c>
      <c r="AQ21" s="12">
        <v>51.35</v>
      </c>
      <c r="AR21" s="12">
        <f>AQ21/0.5*20</f>
        <v>2054</v>
      </c>
      <c r="AS21" s="12">
        <v>13.93</v>
      </c>
      <c r="AT21" s="12">
        <f>AS21/0.5*100</f>
        <v>2786</v>
      </c>
      <c r="AU21" s="45"/>
      <c r="AV21" s="45"/>
      <c r="AW21" s="45"/>
      <c r="AX21" s="45"/>
      <c r="AY21" s="45"/>
      <c r="AZ21" s="45"/>
      <c r="BA21" s="45"/>
      <c r="BB21" s="16"/>
      <c r="BC21" s="45"/>
      <c r="BD21" s="19"/>
      <c r="BE21" s="43"/>
      <c r="BF21" s="16"/>
      <c r="BG21" s="16"/>
      <c r="BH21" s="16"/>
      <c r="BI21" s="16"/>
      <c r="BJ21" s="16"/>
      <c r="BK21" s="38"/>
      <c r="BL21" s="16"/>
      <c r="BM21" s="38"/>
      <c r="BN21" s="16"/>
      <c r="BO21" s="43"/>
      <c r="BP21" s="16"/>
      <c r="BQ21" s="16"/>
      <c r="BR21" s="16"/>
      <c r="BS21" s="16"/>
      <c r="BT21" s="16"/>
      <c r="BU21" s="38"/>
      <c r="BV21" s="16"/>
      <c r="BW21" s="38"/>
      <c r="BX21" s="20"/>
      <c r="BY21" s="43"/>
      <c r="BZ21" s="16"/>
      <c r="CA21" s="16"/>
      <c r="CB21" s="16"/>
      <c r="CC21" s="16"/>
      <c r="CD21" s="16"/>
      <c r="CE21" s="38"/>
      <c r="CF21" s="16"/>
      <c r="CG21" s="38"/>
      <c r="DG21" s="2"/>
      <c r="DH21" s="2"/>
      <c r="DI21" s="2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</row>
    <row r="22" spans="1:133" x14ac:dyDescent="0.25">
      <c r="A22" t="s">
        <v>20</v>
      </c>
      <c r="B22" s="13">
        <f>B20+B21</f>
        <v>40.32</v>
      </c>
      <c r="C22" s="30">
        <f>B22/AVERAGE($N11,$M11,$R11,$Q11)</f>
        <v>1.1570413946481097</v>
      </c>
      <c r="D22" s="13">
        <f>D20+D21</f>
        <v>29.94</v>
      </c>
      <c r="E22" s="30">
        <f>D22/AVERAGE($N11,$M11,$R11,$Q11)</f>
        <v>0.85917210703780766</v>
      </c>
      <c r="F22" s="13">
        <f>F20+F21</f>
        <v>41.769999999999996</v>
      </c>
      <c r="G22" s="30">
        <f>F22/AVERAGE($N11,$M11,$R11,$Q11)</f>
        <v>1.198651266231437</v>
      </c>
      <c r="H22" s="34"/>
      <c r="I22" s="12">
        <f>AVERAGE(B22,D22,F22)</f>
        <v>37.343333333333334</v>
      </c>
      <c r="J22" s="30">
        <f>STDEV(B22,D22,F22)/I22</f>
        <v>0.17278413356638003</v>
      </c>
      <c r="L22" s="58"/>
      <c r="M22" s="58"/>
      <c r="N22" s="58"/>
      <c r="O22" s="58"/>
      <c r="P22" s="58"/>
      <c r="Q22" s="58"/>
      <c r="T22" s="38"/>
      <c r="U22" s="38"/>
      <c r="V22" s="38"/>
      <c r="W22" s="16"/>
      <c r="X22" s="13"/>
      <c r="Y22" s="12"/>
      <c r="Z22" s="13"/>
      <c r="AA22" s="12"/>
      <c r="AB22" s="12"/>
      <c r="AC22" s="12"/>
      <c r="AD22" s="12"/>
      <c r="AE22" s="12"/>
      <c r="AF22" s="12"/>
      <c r="AG22" s="12"/>
      <c r="AH22" s="16"/>
      <c r="AI22" s="45"/>
      <c r="AJ22" s="43"/>
      <c r="AK22" s="13">
        <f>SUM(AK21,AK20)</f>
        <v>24.509999999999998</v>
      </c>
      <c r="AL22" s="12">
        <f>AK22/0.5*10</f>
        <v>490.19999999999993</v>
      </c>
      <c r="AM22" s="13">
        <f>SUM(AM21,AM20)</f>
        <v>64.33</v>
      </c>
      <c r="AN22" s="12">
        <f>AM22/0.5*10</f>
        <v>1286.5999999999999</v>
      </c>
      <c r="AO22" s="13">
        <f>SUM(AO21,AO20)</f>
        <v>58.55</v>
      </c>
      <c r="AP22" s="12">
        <f>AO22/0.5*20</f>
        <v>2342</v>
      </c>
      <c r="AQ22" s="13">
        <f>SUM(AQ21,AQ20)</f>
        <v>91.03</v>
      </c>
      <c r="AR22" s="12">
        <f>AQ22/0.5*20</f>
        <v>3641.2</v>
      </c>
      <c r="AS22" s="13">
        <f>SUM(AS21,AS20)</f>
        <v>24.72</v>
      </c>
      <c r="AT22" s="12">
        <f>AS22/0.5*100</f>
        <v>4944</v>
      </c>
      <c r="AU22" s="21" t="s">
        <v>78</v>
      </c>
      <c r="AV22" s="45"/>
      <c r="AW22" s="45"/>
      <c r="AX22" s="45"/>
      <c r="AY22" s="45"/>
      <c r="AZ22" s="45"/>
      <c r="BA22" s="45"/>
      <c r="BB22" s="16"/>
      <c r="BC22" s="45"/>
      <c r="BD22" s="19"/>
      <c r="BE22" s="19"/>
      <c r="BF22" s="16"/>
      <c r="BG22" s="19"/>
      <c r="BH22" s="16"/>
      <c r="BI22" s="19"/>
      <c r="BJ22" s="16"/>
      <c r="BK22" s="38"/>
      <c r="BL22" s="16"/>
      <c r="BM22" s="38"/>
      <c r="BN22" s="19"/>
      <c r="BO22" s="19"/>
      <c r="BP22" s="16"/>
      <c r="BQ22" s="19"/>
      <c r="BR22" s="16"/>
      <c r="BS22" s="19"/>
      <c r="BT22" s="16"/>
      <c r="BU22" s="38"/>
      <c r="BV22" s="16"/>
      <c r="BW22" s="38"/>
      <c r="BX22" s="20"/>
      <c r="BY22" s="19"/>
      <c r="BZ22" s="16"/>
      <c r="CA22" s="19"/>
      <c r="CB22" s="16"/>
      <c r="CC22" s="19"/>
      <c r="CD22" s="16"/>
      <c r="CE22" s="38"/>
      <c r="CF22" s="16"/>
      <c r="CG22" s="38"/>
      <c r="DG22" s="2"/>
      <c r="DH22" s="2"/>
      <c r="DI22" s="2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</row>
    <row r="23" spans="1:133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37"/>
      <c r="R23" s="1"/>
      <c r="S23" s="1"/>
      <c r="T23" s="37"/>
      <c r="U23" s="37"/>
      <c r="V23" s="37"/>
      <c r="W23" s="19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1"/>
      <c r="AI23" s="21"/>
      <c r="AJ23" s="20"/>
      <c r="AK23" s="31"/>
      <c r="AL23" s="69">
        <f>AL22/AK24</f>
        <v>0.49019999999999991</v>
      </c>
      <c r="AM23" s="31"/>
      <c r="AN23" s="69">
        <f>AN22/AM24</f>
        <v>0.42886666666666662</v>
      </c>
      <c r="AO23" s="31"/>
      <c r="AP23" s="69">
        <f>AP22/AO24</f>
        <v>0.58550000000000002</v>
      </c>
      <c r="AQ23" s="31"/>
      <c r="AR23" s="69">
        <f>AR22/AQ24</f>
        <v>0.60686666666666667</v>
      </c>
      <c r="AS23" s="31"/>
      <c r="AT23" s="69">
        <f>AT22/AS24</f>
        <v>0.61799999999999999</v>
      </c>
      <c r="AU23" s="2">
        <f>AVERAGE(AL23,AN23,AP23,AR23,AT23)</f>
        <v>0.54588666666666663</v>
      </c>
      <c r="AV23" s="73"/>
      <c r="AW23" s="21"/>
      <c r="AX23" s="21"/>
      <c r="AY23" s="21"/>
      <c r="AZ23" s="21"/>
      <c r="BA23" s="21"/>
      <c r="BB23" s="21"/>
      <c r="BC23" s="21"/>
      <c r="BD23" s="20"/>
      <c r="BE23" s="66"/>
      <c r="BF23" s="66"/>
      <c r="BG23" s="66"/>
      <c r="BH23" s="66"/>
      <c r="BI23" s="66"/>
      <c r="BJ23" s="66"/>
      <c r="BK23" s="21"/>
      <c r="BL23" s="66"/>
      <c r="BM23" s="66"/>
      <c r="BN23" s="21"/>
      <c r="BO23" s="66"/>
      <c r="BP23" s="66"/>
      <c r="BQ23" s="66"/>
      <c r="BR23" s="66"/>
      <c r="BS23" s="66"/>
      <c r="BT23" s="66"/>
      <c r="BU23" s="21"/>
      <c r="BV23" s="66"/>
      <c r="BW23" s="66"/>
      <c r="BX23" s="16"/>
      <c r="BY23" s="66"/>
      <c r="BZ23" s="66"/>
      <c r="CA23" s="66"/>
      <c r="CB23" s="66"/>
      <c r="CC23" s="66"/>
      <c r="CD23" s="66"/>
      <c r="CE23" s="21"/>
      <c r="CF23" s="66"/>
      <c r="CG23" s="66"/>
    </row>
    <row r="24" spans="1:133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19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22"/>
      <c r="AI24" s="22"/>
      <c r="AJ24" s="44"/>
      <c r="AK24" s="32">
        <v>1000</v>
      </c>
      <c r="AL24" s="32"/>
      <c r="AM24" s="32">
        <v>3000</v>
      </c>
      <c r="AN24" s="32"/>
      <c r="AO24" s="32">
        <v>4000</v>
      </c>
      <c r="AP24" s="32"/>
      <c r="AQ24" s="32">
        <v>6000</v>
      </c>
      <c r="AR24" s="32"/>
      <c r="AS24" s="32">
        <v>8000</v>
      </c>
      <c r="AT24" s="32"/>
      <c r="AU24" s="22"/>
      <c r="AV24" s="22"/>
      <c r="AW24" s="22"/>
      <c r="AX24" s="22"/>
      <c r="AY24" s="22"/>
      <c r="AZ24" s="22"/>
      <c r="BA24" s="22"/>
      <c r="BB24" s="22"/>
      <c r="BC24" s="22"/>
      <c r="BD24" s="44"/>
      <c r="BE24" s="67"/>
      <c r="BF24" s="67"/>
      <c r="BG24" s="67"/>
      <c r="BH24" s="67"/>
      <c r="BI24" s="67"/>
      <c r="BJ24" s="67"/>
      <c r="BK24" s="22"/>
      <c r="BL24" s="67"/>
      <c r="BM24" s="67"/>
      <c r="BN24" s="22"/>
      <c r="BO24" s="67"/>
      <c r="BP24" s="67"/>
      <c r="BQ24" s="67"/>
      <c r="BR24" s="67"/>
      <c r="BS24" s="67"/>
      <c r="BT24" s="67"/>
      <c r="BU24" s="22"/>
      <c r="BV24" s="67"/>
      <c r="BW24" s="67"/>
      <c r="BX24" s="19"/>
      <c r="BY24" s="67"/>
      <c r="BZ24" s="67"/>
      <c r="CA24" s="67"/>
      <c r="CB24" s="67"/>
      <c r="CC24" s="67"/>
      <c r="CD24" s="67"/>
      <c r="CE24" s="22"/>
      <c r="CF24" s="67"/>
      <c r="CG24" s="67"/>
    </row>
    <row r="25" spans="1:133" x14ac:dyDescent="0.25">
      <c r="A25" t="s">
        <v>2</v>
      </c>
      <c r="B25" s="30">
        <f>ABS(B22-B24)/B24</f>
        <v>8.0000000000000071E-3</v>
      </c>
      <c r="C25" s="33"/>
      <c r="D25" s="30">
        <f>ABS(D22-D24)/D24</f>
        <v>0.25149999999999995</v>
      </c>
      <c r="E25" s="34"/>
      <c r="F25" s="30">
        <f>ABS(F22-F24)/F24</f>
        <v>4.4249999999999901E-2</v>
      </c>
      <c r="G25" s="34"/>
      <c r="H25" s="34"/>
      <c r="I25" s="34"/>
      <c r="J25" s="34"/>
      <c r="L25" s="23"/>
      <c r="M25" s="23"/>
      <c r="N25" s="23"/>
      <c r="O25" s="23"/>
      <c r="P25" s="23"/>
      <c r="Q25" s="23"/>
      <c r="R25" s="38"/>
      <c r="S25" s="38"/>
      <c r="T25" s="19"/>
      <c r="U25" s="19"/>
      <c r="V25" s="19"/>
      <c r="W25" s="19"/>
      <c r="X25" s="45"/>
      <c r="Y25" s="23"/>
      <c r="Z25" s="45"/>
      <c r="AA25" s="38"/>
      <c r="AB25" s="45"/>
      <c r="AC25" s="38"/>
      <c r="AD25" s="38"/>
      <c r="AE25" s="38"/>
      <c r="AF25" s="38"/>
      <c r="AG25" s="38"/>
      <c r="AH25" s="38"/>
      <c r="AI25" s="38"/>
      <c r="AJ25" s="16"/>
      <c r="AK25" s="29">
        <f>ABS(AL22-AK24)/AK24</f>
        <v>0.50980000000000003</v>
      </c>
      <c r="AL25" s="23"/>
      <c r="AM25" s="29">
        <f>ABS(AN22-AM24)/AM24</f>
        <v>0.57113333333333338</v>
      </c>
      <c r="AN25" s="38"/>
      <c r="AO25" s="29">
        <f>ABS(AP22-AO24)/AO24</f>
        <v>0.41449999999999998</v>
      </c>
      <c r="AP25" s="38"/>
      <c r="AQ25" s="29">
        <f>ABS(AR22-AQ24)/AQ24</f>
        <v>0.39313333333333339</v>
      </c>
      <c r="AR25" s="38"/>
      <c r="AS25" s="30">
        <f>ABS(AT22-AS24)/AS24</f>
        <v>0.38200000000000001</v>
      </c>
      <c r="AT25" s="16"/>
      <c r="AU25" s="2"/>
      <c r="AV25" s="2"/>
      <c r="AW25" s="2"/>
      <c r="AX25" s="2"/>
      <c r="AY25" s="49"/>
      <c r="AZ25" s="38"/>
      <c r="BA25" s="38"/>
      <c r="BB25" s="38"/>
      <c r="BC25" s="38"/>
      <c r="BD25" s="16"/>
      <c r="BE25" s="38"/>
      <c r="BF25" s="23"/>
      <c r="BG25" s="23"/>
      <c r="BH25" s="38"/>
      <c r="BI25" s="23"/>
      <c r="BJ25" s="38"/>
      <c r="BK25" s="38"/>
      <c r="BL25" s="38"/>
      <c r="BM25" s="38"/>
      <c r="BN25" s="20"/>
      <c r="BO25" s="23"/>
      <c r="BP25" s="23"/>
      <c r="BQ25" s="23"/>
      <c r="BR25" s="38"/>
      <c r="BS25" s="23"/>
      <c r="BT25" s="38"/>
      <c r="BU25" s="38"/>
      <c r="BV25" s="38"/>
      <c r="BW25" s="38"/>
      <c r="BX25" s="16"/>
      <c r="BY25" s="38"/>
      <c r="BZ25" s="23"/>
      <c r="CA25" s="38"/>
      <c r="CB25" s="38"/>
      <c r="CC25" s="23"/>
      <c r="CD25" s="38"/>
      <c r="CE25" s="38"/>
      <c r="CF25" s="38"/>
      <c r="CG25" s="38"/>
    </row>
    <row r="26" spans="1:133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U26" s="35"/>
      <c r="AY26" s="35"/>
      <c r="AZ26" s="35"/>
      <c r="BA26" s="35"/>
      <c r="BB26" s="35"/>
      <c r="BC26" s="35"/>
      <c r="BD26" s="35"/>
    </row>
    <row r="28" spans="1:133" x14ac:dyDescent="0.25">
      <c r="A28" t="s">
        <v>26</v>
      </c>
    </row>
    <row r="29" spans="1:133" x14ac:dyDescent="0.25">
      <c r="A29" t="s">
        <v>3</v>
      </c>
    </row>
    <row r="30" spans="1:133" x14ac:dyDescent="0.25">
      <c r="A30" t="str">
        <f>"-OR-"</f>
        <v>-OR-</v>
      </c>
    </row>
    <row r="31" spans="1:133" x14ac:dyDescent="0.25">
      <c r="A31" t="s">
        <v>24</v>
      </c>
    </row>
    <row r="32" spans="1:133" x14ac:dyDescent="0.25">
      <c r="A32" t="s">
        <v>25</v>
      </c>
    </row>
    <row r="34" spans="1:24" x14ac:dyDescent="0.25">
      <c r="A34" t="s">
        <v>23</v>
      </c>
    </row>
    <row r="35" spans="1:24" x14ac:dyDescent="0.25">
      <c r="A35" t="s">
        <v>18</v>
      </c>
    </row>
    <row r="37" spans="1:24" x14ac:dyDescent="0.25">
      <c r="A37" t="s">
        <v>19</v>
      </c>
    </row>
    <row r="38" spans="1:24" x14ac:dyDescent="0.25">
      <c r="A38" t="s">
        <v>3</v>
      </c>
    </row>
    <row r="40" spans="1:24" x14ac:dyDescent="0.25">
      <c r="A40" t="s">
        <v>14</v>
      </c>
    </row>
    <row r="41" spans="1:24" x14ac:dyDescent="0.25">
      <c r="A41" t="s">
        <v>4</v>
      </c>
    </row>
    <row r="43" spans="1:24" x14ac:dyDescent="0.25">
      <c r="A43" t="s">
        <v>27</v>
      </c>
    </row>
    <row r="44" spans="1:24" x14ac:dyDescent="0.25">
      <c r="A44" t="s">
        <v>28</v>
      </c>
    </row>
    <row r="45" spans="1:24" x14ac:dyDescent="0.25">
      <c r="A45" t="s">
        <v>29</v>
      </c>
    </row>
    <row r="46" spans="1: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</sheetPr>
  <dimension ref="A1:T27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0.75</v>
      </c>
      <c r="C4" s="119">
        <v>0.87</v>
      </c>
      <c r="D4" s="119">
        <v>0.87</v>
      </c>
      <c r="E4" s="143">
        <v>0.73</v>
      </c>
      <c r="F4" s="123">
        <v>0.53</v>
      </c>
      <c r="G4" s="123">
        <v>0.78</v>
      </c>
      <c r="H4" s="278">
        <v>0.72</v>
      </c>
      <c r="I4" s="123">
        <v>0.84</v>
      </c>
      <c r="J4" s="126">
        <v>0.73</v>
      </c>
      <c r="K4" s="126">
        <v>0.83</v>
      </c>
      <c r="L4" s="126">
        <v>0.81</v>
      </c>
      <c r="M4" s="126">
        <v>0.47</v>
      </c>
      <c r="N4" s="126">
        <v>0.96</v>
      </c>
      <c r="O4" s="126">
        <v>0.44</v>
      </c>
      <c r="P4" s="126">
        <v>0.71</v>
      </c>
      <c r="Q4" s="126">
        <v>0.7</v>
      </c>
      <c r="R4" s="126">
        <v>0.42</v>
      </c>
      <c r="S4" s="126">
        <v>0.73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3">
      <c r="A10" s="116" t="s">
        <v>215</v>
      </c>
      <c r="B10" s="154" t="s">
        <v>216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2">
        <v>186.7</v>
      </c>
      <c r="L10" s="12">
        <v>527.6</v>
      </c>
      <c r="M10" s="12">
        <v>1040</v>
      </c>
      <c r="N10" s="71">
        <v>1605</v>
      </c>
      <c r="O10" s="12">
        <v>2010</v>
      </c>
      <c r="P10" s="16"/>
      <c r="Q10" s="16"/>
      <c r="R10" s="16"/>
    </row>
    <row r="11" spans="1:20" ht="39" customHeight="1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ht="0.75" customHeight="1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76.5" customHeight="1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79998168889431442"/>
  </sheetPr>
  <dimension ref="A2:GU50"/>
  <sheetViews>
    <sheetView topLeftCell="A10" zoomScale="70" zoomScaleNormal="70" zoomScaleSheetLayoutView="40" workbookViewId="0">
      <pane xSplit="1" topLeftCell="B1" activePane="topRight" state="frozen"/>
      <selection pane="topRight" activeCell="A43" sqref="A43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3.28515625" customWidth="1"/>
    <col min="13" max="13" width="12.28515625" customWidth="1"/>
    <col min="14" max="14" width="13.140625" customWidth="1"/>
    <col min="15" max="15" width="12.85546875" customWidth="1"/>
    <col min="16" max="16" width="12.140625" customWidth="1"/>
    <col min="17" max="17" width="12.4257812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204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s="102">
        <v>43902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214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1.1100000000000001</v>
      </c>
      <c r="C7" s="29">
        <f>B7/AVERAGE($M7,$N7)</f>
        <v>2.9091862141265891E-2</v>
      </c>
      <c r="D7" s="12">
        <v>1.1200000000000001</v>
      </c>
      <c r="E7" s="29">
        <f>D7/AVERAGE($M7,$N7)</f>
        <v>2.9353950989385404E-2</v>
      </c>
      <c r="F7" s="12">
        <v>1.32</v>
      </c>
      <c r="G7" s="29">
        <f>F7/AVERAGE($M7,$N7)</f>
        <v>3.4595727951775651E-2</v>
      </c>
      <c r="H7" s="33"/>
      <c r="I7" s="12">
        <f>AVERAGE(B7,D7,F7)</f>
        <v>1.1833333333333336</v>
      </c>
      <c r="J7" s="30">
        <f>STDEV(B7,D7,F7)/I7</f>
        <v>0.10010904588122171</v>
      </c>
      <c r="K7" s="19"/>
      <c r="L7" s="12">
        <v>37.83</v>
      </c>
      <c r="M7" s="12">
        <v>38.159999999999997</v>
      </c>
      <c r="N7" s="12">
        <v>38.15</v>
      </c>
      <c r="O7" s="12">
        <v>39.08</v>
      </c>
      <c r="P7" s="12">
        <v>38.340000000000003</v>
      </c>
      <c r="Q7" s="12">
        <v>39.159999999999997</v>
      </c>
      <c r="R7" s="53" t="e">
        <f>AVERAGE(L7,M7,N7,#REF!,O7,P7,Q7,#REF!)</f>
        <v>#REF!</v>
      </c>
      <c r="S7" s="54">
        <f>ABS(L7-O7)/AVERAGE(O7,L7)</f>
        <v>3.2505525939409703E-2</v>
      </c>
      <c r="T7" s="38"/>
      <c r="U7" s="38"/>
      <c r="V7" s="16"/>
      <c r="W7" s="12">
        <v>1.1200000000000001</v>
      </c>
      <c r="X7" s="29">
        <f>W7/AVERAGE($M7,$N7)</f>
        <v>2.9353950989385404E-2</v>
      </c>
      <c r="Y7" s="12">
        <v>1.18</v>
      </c>
      <c r="Z7" s="29">
        <f>Y7/AVERAGE($M7,$N7)</f>
        <v>3.0926484078102473E-2</v>
      </c>
      <c r="AA7" s="12">
        <v>1.2</v>
      </c>
      <c r="AB7" s="29">
        <f>AA7/AVERAGE($M7,$N7)</f>
        <v>3.1450661774341498E-2</v>
      </c>
      <c r="AC7" s="12">
        <v>1.0900000000000001</v>
      </c>
      <c r="AD7" s="29">
        <f>AC7/AVERAGE($M7,$N7)</f>
        <v>2.8567684445026865E-2</v>
      </c>
      <c r="AE7" s="12">
        <v>1.19</v>
      </c>
      <c r="AF7" s="29">
        <f>AE7/AVERAGE($M7,$N7)</f>
        <v>3.1188572926221986E-2</v>
      </c>
      <c r="AG7" s="16"/>
      <c r="AH7" s="38"/>
      <c r="AI7" s="20"/>
      <c r="AJ7" s="12" t="s">
        <v>158</v>
      </c>
      <c r="AK7" s="29" t="e">
        <f>AJ7*10/AVERAGE($L7,$M7)</f>
        <v>#VALUE!</v>
      </c>
      <c r="AL7" s="12" t="s">
        <v>158</v>
      </c>
      <c r="AM7" s="29" t="e">
        <f>AL7*10/AVERAGE($L7,$M7)</f>
        <v>#VALUE!</v>
      </c>
      <c r="AN7" s="12" t="s">
        <v>159</v>
      </c>
      <c r="AO7" s="29" t="e">
        <f>AN7*10/AVERAGE($L7,$M7)</f>
        <v>#VALUE!</v>
      </c>
      <c r="AP7" s="12" t="s">
        <v>158</v>
      </c>
      <c r="AQ7" s="29" t="e">
        <f>AP7*10/AVERAGE($L7,$M7)</f>
        <v>#VALUE!</v>
      </c>
      <c r="AR7" s="12" t="s">
        <v>158</v>
      </c>
      <c r="AS7" s="29" t="e">
        <f>AR7*20/AVERAGE($L7,$M7)</f>
        <v>#VALUE!</v>
      </c>
      <c r="AT7" s="43"/>
      <c r="AU7" s="12">
        <v>1.1399999999999999</v>
      </c>
      <c r="AV7" s="29">
        <f>AU7/AVERAGE($L7,$M7)</f>
        <v>3.0003947887879984E-2</v>
      </c>
      <c r="AW7" s="12">
        <v>1.21</v>
      </c>
      <c r="AX7" s="29">
        <f>AW7/AVERAGE($L7,$M7)</f>
        <v>3.1846295565205948E-2</v>
      </c>
      <c r="AY7" s="12">
        <v>1.2</v>
      </c>
      <c r="AZ7" s="29">
        <f>AY7/AVERAGE($L7,$M7)</f>
        <v>3.1583103039873668E-2</v>
      </c>
      <c r="BA7" s="12">
        <v>1.26</v>
      </c>
      <c r="BB7" s="29">
        <f>BA7/AVERAGE($L7,$M7)</f>
        <v>3.3162258191867355E-2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29.01</v>
      </c>
      <c r="C8" s="30">
        <f>B8/AVERAGE($M8,$N8)</f>
        <v>0.75165176836377778</v>
      </c>
      <c r="D8" s="12">
        <v>33.76</v>
      </c>
      <c r="E8" s="30">
        <f>D8/AVERAGE($M8,$N8)</f>
        <v>0.87472470527270374</v>
      </c>
      <c r="F8" s="12">
        <v>33.619999999999997</v>
      </c>
      <c r="G8" s="30">
        <f>F8/AVERAGE($M8,$N8)</f>
        <v>0.87109729239538791</v>
      </c>
      <c r="H8" s="34"/>
      <c r="I8" s="12">
        <f>AVERAGE(B8,D8,F8)</f>
        <v>32.129999999999995</v>
      </c>
      <c r="J8" s="30">
        <f>STDEV(B8,D8,F8)/I8</f>
        <v>8.4124053648213182E-2</v>
      </c>
      <c r="K8" s="19"/>
      <c r="L8" s="12">
        <v>38.67</v>
      </c>
      <c r="M8" s="12">
        <v>37.479999999999997</v>
      </c>
      <c r="N8" s="12">
        <v>39.71</v>
      </c>
      <c r="O8" s="12">
        <v>38.78</v>
      </c>
      <c r="P8" s="12">
        <v>37.49</v>
      </c>
      <c r="Q8" s="12">
        <v>39.86</v>
      </c>
      <c r="R8" s="53" t="e">
        <f>AVERAGE(L8,M8,N8,#REF!,O8,P8,Q8,#REF!)</f>
        <v>#REF!</v>
      </c>
      <c r="S8" s="54">
        <f>ABS(L8-O8)/AVERAGE(O8,L8)</f>
        <v>2.8405422853453694E-3</v>
      </c>
      <c r="T8" s="38"/>
      <c r="U8" s="38"/>
      <c r="V8" s="16"/>
      <c r="W8" s="12">
        <v>28.1</v>
      </c>
      <c r="X8" s="30">
        <f>W8/AVERAGE($M8,$N8)</f>
        <v>0.72807358466122563</v>
      </c>
      <c r="Y8" s="12">
        <v>32.18</v>
      </c>
      <c r="Z8" s="30">
        <f>Y8/AVERAGE($M8,$N8)</f>
        <v>0.83378675994299778</v>
      </c>
      <c r="AA8" s="12">
        <v>31.1</v>
      </c>
      <c r="AB8" s="30">
        <f>AA8/AVERAGE($M8,$N8)</f>
        <v>0.80580386060370524</v>
      </c>
      <c r="AC8" s="12">
        <v>18.07</v>
      </c>
      <c r="AD8" s="29">
        <f>AC8/AVERAGE($M8,$N8)</f>
        <v>0.46819536209353546</v>
      </c>
      <c r="AE8" s="12">
        <v>36.92</v>
      </c>
      <c r="AF8" s="30">
        <f>AE8/AVERAGE($M8,$N8)</f>
        <v>0.95660059593211566</v>
      </c>
      <c r="AG8" s="16"/>
      <c r="AH8" s="23"/>
      <c r="AI8" s="20"/>
      <c r="AJ8" s="12" t="s">
        <v>158</v>
      </c>
      <c r="AK8" s="30" t="e">
        <f>AJ8*10/AVERAGE($L8,$M8)</f>
        <v>#VALUE!</v>
      </c>
      <c r="AL8" s="12" t="s">
        <v>158</v>
      </c>
      <c r="AM8" s="30" t="e">
        <f>AL8*10/AVERAGE($L8,$M8)</f>
        <v>#VALUE!</v>
      </c>
      <c r="AN8" s="12" t="s">
        <v>159</v>
      </c>
      <c r="AO8" s="30" t="e">
        <f>AN8*10/AVERAGE($L8,$M8)</f>
        <v>#VALUE!</v>
      </c>
      <c r="AP8" s="12">
        <v>1.51</v>
      </c>
      <c r="AQ8" s="30">
        <f>AP8/0.5*10/AVERAGE($L8,$M8)</f>
        <v>0.79317137229152979</v>
      </c>
      <c r="AR8" s="12" t="s">
        <v>158</v>
      </c>
      <c r="AS8" s="30" t="e">
        <f>AR8*20/AVERAGE($L8,$M8)</f>
        <v>#VALUE!</v>
      </c>
      <c r="AT8" s="43"/>
      <c r="AU8" s="12">
        <v>27.25</v>
      </c>
      <c r="AV8" s="30">
        <f>AU8/AVERAGE($L8,$M8)</f>
        <v>0.71569271175311877</v>
      </c>
      <c r="AW8" s="12">
        <v>27.53</v>
      </c>
      <c r="AX8" s="30">
        <f>AW8/AVERAGE($L8,$M8)</f>
        <v>0.72304661851608665</v>
      </c>
      <c r="AY8" s="12">
        <v>27.75</v>
      </c>
      <c r="AZ8" s="30">
        <f>AY8/AVERAGE($L8,$M8)</f>
        <v>0.72882468811556134</v>
      </c>
      <c r="BA8" s="12">
        <v>32.159999999999997</v>
      </c>
      <c r="BB8" s="30">
        <f>BA8/AVERAGE($L8,$M8)</f>
        <v>0.84464871963230448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9.99</v>
      </c>
      <c r="C9" s="30">
        <f>B9/AVERAGE($M9,$N9)</f>
        <v>0.84912877178070545</v>
      </c>
      <c r="D9" s="12">
        <v>9.14</v>
      </c>
      <c r="E9" s="30">
        <f>D9/AVERAGE($M9,$N9)</f>
        <v>0.77688057798555032</v>
      </c>
      <c r="F9" s="12">
        <v>9.2100000000000009</v>
      </c>
      <c r="G9" s="30">
        <f>F9/AVERAGE($M9,$N9)</f>
        <v>0.78283042923926904</v>
      </c>
      <c r="H9" s="34"/>
      <c r="I9" s="12">
        <f>AVERAGE(B9,D9,F9)</f>
        <v>9.4466666666666672</v>
      </c>
      <c r="J9" s="30">
        <f>STDEV(B9,D9,F9)/I9</f>
        <v>4.9947816000672024E-2</v>
      </c>
      <c r="K9" s="16"/>
      <c r="L9" s="12">
        <v>11.45</v>
      </c>
      <c r="M9" s="12">
        <v>11.84</v>
      </c>
      <c r="N9" s="12">
        <v>11.69</v>
      </c>
      <c r="O9" s="12">
        <v>12.48</v>
      </c>
      <c r="P9" s="12">
        <v>12.65</v>
      </c>
      <c r="Q9" s="12">
        <v>12.21</v>
      </c>
      <c r="R9" s="53" t="e">
        <f>AVERAGE(L9,M9,N9,#REF!,O9,P9,Q9,#REF!)</f>
        <v>#REF!</v>
      </c>
      <c r="S9" s="54">
        <f>ABS(L9-O9)/AVERAGE(O9,L9)</f>
        <v>8.6084412870873483E-2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4.91</v>
      </c>
      <c r="AK9" s="12">
        <f>AJ9/0.5*10</f>
        <v>98.2</v>
      </c>
      <c r="AL9" s="12">
        <v>12.38</v>
      </c>
      <c r="AM9" s="12">
        <f>AL9/0.5*10</f>
        <v>247.60000000000002</v>
      </c>
      <c r="AN9" s="12">
        <v>22.12</v>
      </c>
      <c r="AO9" s="12">
        <f>AN9/0.5*10</f>
        <v>442.40000000000003</v>
      </c>
      <c r="AP9" s="12">
        <v>36.200000000000003</v>
      </c>
      <c r="AQ9" s="12">
        <f>AP9/0.5*10</f>
        <v>724</v>
      </c>
      <c r="AR9" s="12">
        <v>20.05</v>
      </c>
      <c r="AS9" s="12">
        <f>AR9/0.5*20</f>
        <v>802</v>
      </c>
      <c r="AT9" s="45"/>
      <c r="AU9" s="12" t="s">
        <v>159</v>
      </c>
      <c r="AV9" s="12"/>
      <c r="AW9" s="12" t="s">
        <v>159</v>
      </c>
      <c r="AX9" s="12"/>
      <c r="AY9" s="12" t="s">
        <v>159</v>
      </c>
      <c r="AZ9" s="12"/>
      <c r="BA9" s="12" t="s">
        <v>158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19.03</v>
      </c>
      <c r="C10" s="30">
        <f>B10/AVERAGE($M10,$N10)</f>
        <v>0.77310582977859033</v>
      </c>
      <c r="D10" s="12">
        <v>17.68</v>
      </c>
      <c r="E10" s="30">
        <f>D10/AVERAGE($M10,$N10)</f>
        <v>0.71826122283160665</v>
      </c>
      <c r="F10" s="12">
        <v>17.59</v>
      </c>
      <c r="G10" s="30">
        <f>F10/AVERAGE($M10,$N10)</f>
        <v>0.71460491570180773</v>
      </c>
      <c r="H10" s="34"/>
      <c r="I10" s="12">
        <f>AVERAGE(B10,D10,F10)</f>
        <v>18.099999999999998</v>
      </c>
      <c r="J10" s="30">
        <f>STDEV(B10,D10,F10)/I10</f>
        <v>4.4566838651100886E-2</v>
      </c>
      <c r="K10" s="16"/>
      <c r="L10" s="12">
        <v>24.2</v>
      </c>
      <c r="M10" s="12">
        <v>24.8</v>
      </c>
      <c r="N10" s="12">
        <v>24.43</v>
      </c>
      <c r="O10" s="12">
        <v>25.9</v>
      </c>
      <c r="P10" s="12">
        <v>25.89</v>
      </c>
      <c r="Q10" s="12">
        <v>26.1</v>
      </c>
      <c r="R10" s="53" t="e">
        <f>AVERAGE(L10,M10,N10,#REF!,O10,P10,Q10,#REF!)</f>
        <v>#REF!</v>
      </c>
      <c r="S10" s="54">
        <f>ABS(L10-O10)/AVERAGE(O10,L10)</f>
        <v>6.7864271457085804E-2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8.58</v>
      </c>
      <c r="AK10" s="12">
        <f>AJ10/0.5*10</f>
        <v>171.6</v>
      </c>
      <c r="AL10" s="12">
        <v>23.47</v>
      </c>
      <c r="AM10" s="12">
        <f>AL10/0.5*10</f>
        <v>469.4</v>
      </c>
      <c r="AN10" s="12">
        <v>44.62</v>
      </c>
      <c r="AO10" s="12">
        <f>AN10/0.5*10</f>
        <v>892.4</v>
      </c>
      <c r="AP10" s="12">
        <v>73.61</v>
      </c>
      <c r="AQ10" s="12">
        <f>AP10/0.5*10</f>
        <v>1472.2</v>
      </c>
      <c r="AR10" s="12">
        <v>41.84</v>
      </c>
      <c r="AS10" s="12">
        <f>AR10/0.5*20</f>
        <v>1673.6000000000001</v>
      </c>
      <c r="AT10" s="45"/>
      <c r="AU10" s="12" t="s">
        <v>159</v>
      </c>
      <c r="AV10" s="12"/>
      <c r="AW10" s="12" t="s">
        <v>159</v>
      </c>
      <c r="AX10" s="12"/>
      <c r="AY10" s="12" t="s">
        <v>159</v>
      </c>
      <c r="AZ10" s="12"/>
      <c r="BA10" s="12" t="s">
        <v>158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SUM(B9,B10)</f>
        <v>29.020000000000003</v>
      </c>
      <c r="C11" s="30">
        <f>B11/AVERAGE($M11,$N11)</f>
        <v>0.79769103903243554</v>
      </c>
      <c r="D11" s="52">
        <f>SUM(D$10+D$9)</f>
        <v>26.82</v>
      </c>
      <c r="E11" s="30">
        <f>D11/AVERAGE($M11,$N11)</f>
        <v>0.73721825178669609</v>
      </c>
      <c r="F11" s="52">
        <f>SUM(F$10+F$9)</f>
        <v>26.8</v>
      </c>
      <c r="G11" s="30">
        <f>F11/AVERAGE($M11,$N11)</f>
        <v>0.73666849917537125</v>
      </c>
      <c r="H11" s="34"/>
      <c r="I11" s="12">
        <f>AVERAGE(B11,D11)</f>
        <v>27.92</v>
      </c>
      <c r="J11" s="30">
        <f>STDEV(B11,D11,F11)/I11</f>
        <v>4.5701406911790789E-2</v>
      </c>
      <c r="K11" s="19"/>
      <c r="L11" s="136">
        <f t="shared" ref="L11:Q11" si="0">SUM(L9,L10)</f>
        <v>35.65</v>
      </c>
      <c r="M11" s="136">
        <f t="shared" si="0"/>
        <v>36.64</v>
      </c>
      <c r="N11" s="136">
        <f t="shared" si="0"/>
        <v>36.119999999999997</v>
      </c>
      <c r="O11" s="136">
        <f t="shared" si="0"/>
        <v>38.379999999999995</v>
      </c>
      <c r="P11" s="136">
        <f t="shared" si="0"/>
        <v>38.54</v>
      </c>
      <c r="Q11" s="136">
        <f t="shared" si="0"/>
        <v>38.31</v>
      </c>
      <c r="R11" s="53" t="e">
        <f>AVERAGE(L11,M11,N11,#REF!,O11,P11,Q11,#REF!)</f>
        <v>#REF!</v>
      </c>
      <c r="S11" s="54">
        <f>ABS(L11-O11)/AVERAGE(O11,L11)</f>
        <v>7.3753883560718547E-2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2">
        <f>SUM(AJ9,AJ10)</f>
        <v>13.49</v>
      </c>
      <c r="AK11" s="12">
        <f>AJ11/0.5*10</f>
        <v>269.8</v>
      </c>
      <c r="AL11" s="12">
        <f>SUM(AL9,AL10)</f>
        <v>35.85</v>
      </c>
      <c r="AM11" s="12">
        <f>AL11/0.5*10</f>
        <v>717</v>
      </c>
      <c r="AN11" s="12">
        <f>SUM(AN9,AN10)</f>
        <v>66.739999999999995</v>
      </c>
      <c r="AO11" s="12">
        <f>AN11/0.5*10</f>
        <v>1334.8</v>
      </c>
      <c r="AP11" s="13">
        <f>SUM(AP9,AP10)</f>
        <v>109.81</v>
      </c>
      <c r="AQ11" s="12">
        <f>AP11/0.5*10</f>
        <v>2196.1999999999998</v>
      </c>
      <c r="AR11" s="13">
        <f>SUM(AR9,AR10)</f>
        <v>61.89</v>
      </c>
      <c r="AS11" s="12">
        <f>AR11/0.5*20</f>
        <v>2475.6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55">
        <f t="shared" ref="L12:R12" si="1">(L7+L8+L11)/3</f>
        <v>37.383333333333333</v>
      </c>
      <c r="M12" s="55">
        <f t="shared" si="1"/>
        <v>37.426666666666662</v>
      </c>
      <c r="N12" s="55">
        <f t="shared" si="1"/>
        <v>37.993333333333332</v>
      </c>
      <c r="O12" s="55">
        <f t="shared" si="1"/>
        <v>38.746666666666663</v>
      </c>
      <c r="P12" s="55">
        <f t="shared" si="1"/>
        <v>38.123333333333335</v>
      </c>
      <c r="Q12" s="55">
        <f t="shared" si="1"/>
        <v>39.11</v>
      </c>
      <c r="R12" s="55" t="e">
        <f t="shared" si="1"/>
        <v>#REF!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137"/>
      <c r="AK12" s="69">
        <f>AK11/AJ13</f>
        <v>0.53959999999999997</v>
      </c>
      <c r="AL12" s="31"/>
      <c r="AM12" s="69">
        <f>AM11/AL13</f>
        <v>0.71699999999999997</v>
      </c>
      <c r="AN12" s="31"/>
      <c r="AO12" s="69">
        <f>AO11/AN13</f>
        <v>0.66739999999999999</v>
      </c>
      <c r="AP12" s="31"/>
      <c r="AQ12" s="69">
        <f>AQ11/AP13</f>
        <v>0.73206666666666664</v>
      </c>
      <c r="AR12" s="31"/>
      <c r="AS12" s="69">
        <f>AS11/AR13</f>
        <v>0.61890000000000001</v>
      </c>
      <c r="AT12" s="2">
        <f>AVERAGE(AK12,AM12,AO12,AQ12,AS12)</f>
        <v>0.65499333333333332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98">
        <f>ABS(B11-B13)/B13</f>
        <v>0.27449999999999991</v>
      </c>
      <c r="C14" s="33"/>
      <c r="D14" s="98">
        <f>ABS(D11-D13)/D13</f>
        <v>0.32950000000000002</v>
      </c>
      <c r="E14" s="34"/>
      <c r="F14" s="98">
        <f>ABS(F11-F13)/F13</f>
        <v>0.32999999999999996</v>
      </c>
      <c r="G14" s="34"/>
      <c r="H14" s="34"/>
      <c r="I14" s="34"/>
      <c r="J14" s="34"/>
      <c r="K14" s="38"/>
      <c r="L14" s="30">
        <f t="shared" ref="L14:R14" si="2">(L12-L13)/L13</f>
        <v>-6.5416666666666679E-2</v>
      </c>
      <c r="M14" s="30">
        <f t="shared" si="2"/>
        <v>-6.4333333333333437E-2</v>
      </c>
      <c r="N14" s="30">
        <f t="shared" si="2"/>
        <v>-5.0166666666666693E-2</v>
      </c>
      <c r="O14" s="30">
        <f t="shared" si="2"/>
        <v>-3.1333333333333435E-2</v>
      </c>
      <c r="P14" s="30">
        <f t="shared" si="2"/>
        <v>-4.6916666666666627E-2</v>
      </c>
      <c r="Q14" s="30">
        <f t="shared" si="2"/>
        <v>-2.2250000000000013E-2</v>
      </c>
      <c r="R14" s="30" t="e">
        <f t="shared" si="2"/>
        <v>#REF!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72">
        <f>ABS(AK11-AJ13)/AJ13</f>
        <v>0.46039999999999998</v>
      </c>
      <c r="AK14" s="61"/>
      <c r="AL14" s="72">
        <f>ABS(AM11-AL13)/AL13</f>
        <v>0.28299999999999997</v>
      </c>
      <c r="AM14" s="62"/>
      <c r="AN14" s="72">
        <f>ABS(AO11-AN13)/AN13</f>
        <v>0.33260000000000001</v>
      </c>
      <c r="AO14" s="62"/>
      <c r="AP14" s="72">
        <f>ABS(AQ11-AP13)/AP13</f>
        <v>0.26793333333333341</v>
      </c>
      <c r="AQ14" s="62"/>
      <c r="AR14" s="72">
        <f>ABS(AS11-AR13)/AR13</f>
        <v>0.38110000000000005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0.58640266175530575</v>
      </c>
      <c r="X15" s="71"/>
      <c r="Y15" s="30">
        <f>AVERAGE(Z8,Z19)</f>
        <v>0.77099809878210013</v>
      </c>
      <c r="Z15" s="71"/>
      <c r="AA15" s="30">
        <f>AVERAGE(AB8,AB19)</f>
        <v>0.75325745712796777</v>
      </c>
      <c r="AB15" s="71"/>
      <c r="AC15" s="30">
        <f>AVERAGE(AD8,AD19)</f>
        <v>0.44392314969576585</v>
      </c>
      <c r="AD15" s="71"/>
      <c r="AE15" s="30">
        <f>AVERAGE(AF8,AF19)</f>
        <v>0.84533326499902484</v>
      </c>
      <c r="AF15" s="16"/>
      <c r="AG15" s="16"/>
      <c r="AH15" s="16"/>
      <c r="AI15" s="142" t="s">
        <v>129</v>
      </c>
      <c r="AJ15" s="103">
        <f>AVERAGE(AK11,AK22)</f>
        <v>186.7</v>
      </c>
      <c r="AK15" s="71"/>
      <c r="AL15" s="103">
        <f>AVERAGE(AM11,AM22)</f>
        <v>527.6</v>
      </c>
      <c r="AM15" s="71"/>
      <c r="AN15" s="277">
        <f>AVERAGE(AO22,AO11)</f>
        <v>1040</v>
      </c>
      <c r="AO15" s="71"/>
      <c r="AP15" s="103">
        <f>AVERAGE(AQ11,AQ22)</f>
        <v>1604.5</v>
      </c>
      <c r="AQ15" s="71"/>
      <c r="AR15" s="103">
        <f>AVERAGE(AS11,AS22)</f>
        <v>2010.2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6"/>
      <c r="M16" s="36"/>
      <c r="N16" s="36"/>
      <c r="O16" s="36"/>
      <c r="P16" s="36"/>
      <c r="Q16" s="3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35"/>
      <c r="M17" s="57"/>
      <c r="N17" s="57"/>
      <c r="O17" s="57"/>
      <c r="P17" s="57"/>
      <c r="Q17" s="5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>
        <v>1.19</v>
      </c>
      <c r="C18" s="29">
        <f>B18/AVERAGE($Q7,$P7)</f>
        <v>3.0709677419354837E-2</v>
      </c>
      <c r="D18" s="12">
        <v>1.05</v>
      </c>
      <c r="E18" s="29">
        <f>D18/AVERAGE($Q7,$P7)</f>
        <v>2.709677419354839E-2</v>
      </c>
      <c r="F18" s="12">
        <v>1.24</v>
      </c>
      <c r="G18" s="29">
        <f>F18/AVERAGE($Q7,$P7)</f>
        <v>3.2000000000000001E-2</v>
      </c>
      <c r="H18" s="33"/>
      <c r="I18" s="12">
        <f>AVERAGE(F18,D18,B18)</f>
        <v>1.1599999999999999</v>
      </c>
      <c r="J18" s="30">
        <f>STDEV(D18,F18)/I18</f>
        <v>0.11581921415986553</v>
      </c>
      <c r="K18" s="1"/>
      <c r="L18" s="35"/>
      <c r="M18" s="35"/>
      <c r="N18" s="35"/>
      <c r="O18" s="58"/>
      <c r="P18" s="58"/>
      <c r="Q18" s="58"/>
      <c r="S18" s="38"/>
      <c r="T18" s="38"/>
      <c r="U18" s="38"/>
      <c r="V18" s="16"/>
      <c r="W18" s="12">
        <v>1.1200000000000001</v>
      </c>
      <c r="X18" s="29">
        <f>W18/AVERAGE($Q7,$P7)</f>
        <v>2.8903225806451615E-2</v>
      </c>
      <c r="Y18" s="12">
        <v>1.1200000000000001</v>
      </c>
      <c r="Z18" s="29">
        <f>Y18/AVERAGE($Q7,$P7)</f>
        <v>2.8903225806451615E-2</v>
      </c>
      <c r="AA18" s="12">
        <v>1.2</v>
      </c>
      <c r="AB18" s="29">
        <f>AA18/AVERAGE($Q7,$P7)</f>
        <v>3.0967741935483871E-2</v>
      </c>
      <c r="AC18" s="12">
        <v>1.01</v>
      </c>
      <c r="AD18" s="29">
        <f>AC18/AVERAGE($Q7,$P7)</f>
        <v>2.606451612903226E-2</v>
      </c>
      <c r="AE18" s="12">
        <v>1.1499999999999999</v>
      </c>
      <c r="AF18" s="29">
        <f>AE18/AVERAGE($Q7,$P7)</f>
        <v>2.9677419354838707E-2</v>
      </c>
      <c r="AG18" s="16"/>
      <c r="AH18" s="38"/>
      <c r="AI18" s="20"/>
      <c r="AJ18" s="12" t="s">
        <v>158</v>
      </c>
      <c r="AK18" s="29" t="e">
        <f>AJ18*10/AVERAGE($L$7,$M$7)</f>
        <v>#VALUE!</v>
      </c>
      <c r="AL18" s="12" t="s">
        <v>158</v>
      </c>
      <c r="AM18" s="29" t="e">
        <f>AL18*10/AVERAGE($L$7,$M$7)</f>
        <v>#VALUE!</v>
      </c>
      <c r="AN18" s="12" t="s">
        <v>158</v>
      </c>
      <c r="AO18" s="29" t="e">
        <f>AN18*10/AVERAGE($L$7,$M$7)</f>
        <v>#VALUE!</v>
      </c>
      <c r="AP18" s="12" t="s">
        <v>159</v>
      </c>
      <c r="AQ18" s="29" t="e">
        <f>AP18*10/AVERAGE($L$7,$M$7)</f>
        <v>#VALUE!</v>
      </c>
      <c r="AR18" s="12" t="s">
        <v>158</v>
      </c>
      <c r="AS18" s="29" t="e">
        <f>AR18*10/AVERAGE($L$7,$M$7)</f>
        <v>#VALUE!</v>
      </c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28.17</v>
      </c>
      <c r="C19" s="30">
        <f>B19/AVERAGE($Q8,$P8)</f>
        <v>0.72837750484809316</v>
      </c>
      <c r="D19" s="12">
        <v>20.51</v>
      </c>
      <c r="E19" s="29">
        <f>D19/AVERAGE($Q8,$P8)</f>
        <v>0.53031674208144808</v>
      </c>
      <c r="F19" s="12">
        <v>30.1</v>
      </c>
      <c r="G19" s="30">
        <f>F19/AVERAGE($Q8,$P8)</f>
        <v>0.77828054298642546</v>
      </c>
      <c r="H19" s="34"/>
      <c r="I19" s="12">
        <f>AVERAGE(F19,D19,B19)</f>
        <v>26.26</v>
      </c>
      <c r="J19" s="30">
        <f>STDEV(B19,F19)/I19</f>
        <v>5.1969386431456072E-2</v>
      </c>
      <c r="K19" s="11"/>
      <c r="L19" s="35"/>
      <c r="M19" s="35"/>
      <c r="N19" s="35"/>
      <c r="O19" s="58"/>
      <c r="P19" s="58"/>
      <c r="Q19" s="58"/>
      <c r="S19" s="38"/>
      <c r="T19" s="38"/>
      <c r="U19" s="38"/>
      <c r="V19" s="16"/>
      <c r="W19" s="12">
        <v>17.2</v>
      </c>
      <c r="X19" s="29">
        <f>W19/AVERAGE($Q8,$P8)</f>
        <v>0.44473173884938594</v>
      </c>
      <c r="Y19" s="12">
        <v>27.39</v>
      </c>
      <c r="Z19" s="30">
        <f>Y19/AVERAGE($Q8,$P8)</f>
        <v>0.70820943762120236</v>
      </c>
      <c r="AA19" s="12">
        <v>27.1</v>
      </c>
      <c r="AB19" s="30">
        <f>AA19/AVERAGE($Q8,$P8)</f>
        <v>0.70071105365223019</v>
      </c>
      <c r="AC19" s="12">
        <v>16.23</v>
      </c>
      <c r="AD19" s="29">
        <f>AC19/AVERAGE($Q8,$P8)</f>
        <v>0.41965093729799618</v>
      </c>
      <c r="AE19" s="12">
        <v>28.39</v>
      </c>
      <c r="AF19" s="30">
        <f>AE19/AVERAGE($Q8,$P8)</f>
        <v>0.73406593406593412</v>
      </c>
      <c r="AG19" s="16"/>
      <c r="AH19" s="23"/>
      <c r="AI19" s="20"/>
      <c r="AJ19" s="12">
        <v>1.41</v>
      </c>
      <c r="AK19" s="30">
        <f>AJ19/0.5*10/AVERAGE($L$8,$M$8)</f>
        <v>0.74064346684175963</v>
      </c>
      <c r="AL19" s="12" t="s">
        <v>158</v>
      </c>
      <c r="AM19" s="30" t="e">
        <f>AL19*10/AVERAGE($L$8,$M$8)</f>
        <v>#VALUE!</v>
      </c>
      <c r="AN19" s="12" t="s">
        <v>158</v>
      </c>
      <c r="AO19" s="30" t="e">
        <f>AN19*10/AVERAGE($L$8,$M$8)</f>
        <v>#VALUE!</v>
      </c>
      <c r="AP19" s="12">
        <v>1.23</v>
      </c>
      <c r="AQ19" s="98">
        <f>AP19/0.5*10/AVERAGE($L$8,$M$8)</f>
        <v>0.64609323703217336</v>
      </c>
      <c r="AR19" s="12" t="s">
        <v>158</v>
      </c>
      <c r="AS19" s="30" t="e">
        <f>AR19*20/AVERAGE($L$8,$M$8)</f>
        <v>#VALUE!</v>
      </c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9.84</v>
      </c>
      <c r="C20" s="30">
        <f>B20/AVERAGE($Q9,$P9)</f>
        <v>0.79163314561544651</v>
      </c>
      <c r="D20" s="12">
        <v>7.19</v>
      </c>
      <c r="E20" s="29">
        <f>D20/AVERAGE($Q9,$P9)</f>
        <v>0.57843925985518907</v>
      </c>
      <c r="F20" s="12">
        <v>10.8</v>
      </c>
      <c r="G20" s="30">
        <f>F20/AVERAGE($Q9,$P9)</f>
        <v>0.8688656476267097</v>
      </c>
      <c r="H20" s="34"/>
      <c r="I20" s="12">
        <f>AVERAGE(F20,D20,B20)</f>
        <v>9.2766666666666673</v>
      </c>
      <c r="J20" s="30">
        <f>STDEV(B20,F20)/I20</f>
        <v>7.3175261581647805E-2</v>
      </c>
      <c r="L20" s="35"/>
      <c r="M20" s="35"/>
      <c r="N20" s="35"/>
      <c r="O20" s="58"/>
      <c r="P20" s="58"/>
      <c r="Q20" s="58"/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2.74</v>
      </c>
      <c r="AK20" s="12">
        <f>AJ20/0.5*10</f>
        <v>54.800000000000004</v>
      </c>
      <c r="AL20" s="12">
        <v>8.6</v>
      </c>
      <c r="AM20" s="12">
        <f>AL20/0.5*10</f>
        <v>172</v>
      </c>
      <c r="AN20" s="12">
        <v>16.78</v>
      </c>
      <c r="AO20" s="12">
        <f>AN20/0.5*10</f>
        <v>335.6</v>
      </c>
      <c r="AP20" s="12">
        <v>22.17</v>
      </c>
      <c r="AQ20" s="12">
        <f>AP20/0.5*10</f>
        <v>443.40000000000003</v>
      </c>
      <c r="AR20" s="12">
        <v>15.91</v>
      </c>
      <c r="AS20" s="12">
        <f>AR20/0.5*20</f>
        <v>636.4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20.73</v>
      </c>
      <c r="C21" s="30">
        <f>B21/AVERAGE($Q10,$P10)</f>
        <v>0.7974610502019619</v>
      </c>
      <c r="D21" s="12">
        <v>11.54</v>
      </c>
      <c r="E21" s="29">
        <f>D21/AVERAGE($Q10,$P10)</f>
        <v>0.44393152529332558</v>
      </c>
      <c r="F21" s="12">
        <v>21.35</v>
      </c>
      <c r="G21" s="30">
        <f>F21/AVERAGE($Q10,$P10)</f>
        <v>0.82131179072898641</v>
      </c>
      <c r="H21" s="34"/>
      <c r="I21" s="12">
        <f>AVERAGE(F21,D21,B21)</f>
        <v>17.873333333333335</v>
      </c>
      <c r="J21" s="30">
        <f>STDEV(B21,F21)/I21</f>
        <v>2.4528508261972781E-2</v>
      </c>
      <c r="L21" s="35"/>
      <c r="M21" s="35"/>
      <c r="N21" s="35"/>
      <c r="O21" s="58"/>
      <c r="P21" s="58"/>
      <c r="Q21" s="58"/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2.44</v>
      </c>
      <c r="AK21" s="12">
        <f>AJ21/0.5*10</f>
        <v>48.8</v>
      </c>
      <c r="AL21" s="12">
        <v>8.31</v>
      </c>
      <c r="AM21" s="12">
        <f>AL21/0.5*10</f>
        <v>166.20000000000002</v>
      </c>
      <c r="AN21" s="12">
        <v>20.48</v>
      </c>
      <c r="AO21" s="12">
        <f>AN21/0.5*10</f>
        <v>409.6</v>
      </c>
      <c r="AP21" s="12">
        <v>28.47</v>
      </c>
      <c r="AQ21" s="12">
        <f>AP21/0.5*10</f>
        <v>569.4</v>
      </c>
      <c r="AR21" s="12">
        <v>22.71</v>
      </c>
      <c r="AS21" s="12">
        <f>AR21/0.5*20</f>
        <v>908.40000000000009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52">
        <f>SUM(B$21+B$20)</f>
        <v>30.57</v>
      </c>
      <c r="C22" s="30">
        <f>B22/AVERAGE($Q11,$P11)</f>
        <v>0.79557579700715686</v>
      </c>
      <c r="D22" s="52">
        <f>SUM(D$21+D$20)</f>
        <v>18.73</v>
      </c>
      <c r="E22" s="29">
        <f>D22/AVERAGE($Q11,$P11)</f>
        <v>0.48744307091737155</v>
      </c>
      <c r="F22" s="138">
        <f>F20+F21</f>
        <v>32.150000000000006</v>
      </c>
      <c r="G22" s="30">
        <f>F22/AVERAGE($Q11,$P11)</f>
        <v>0.83669486011711147</v>
      </c>
      <c r="H22" s="34"/>
      <c r="I22" s="12">
        <f>AVERAGE(F22,D22,B22)</f>
        <v>27.150000000000006</v>
      </c>
      <c r="J22" s="30">
        <f>STDEV(B22,F22)/I22</f>
        <v>4.1150228886731081E-2</v>
      </c>
      <c r="L22" s="35"/>
      <c r="M22" s="58"/>
      <c r="N22" s="58"/>
      <c r="O22" s="58"/>
      <c r="P22" s="58"/>
      <c r="Q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2">
        <f>SUM(AJ20,AJ21)</f>
        <v>5.18</v>
      </c>
      <c r="AK22">
        <f>AJ22/0.5*10</f>
        <v>103.6</v>
      </c>
      <c r="AL22" s="12">
        <f>SUM(AL20,AL21)</f>
        <v>16.91</v>
      </c>
      <c r="AM22" s="12">
        <f>AL22/0.5*10</f>
        <v>338.2</v>
      </c>
      <c r="AN22" s="13">
        <f>SUM(AN20,AN21)</f>
        <v>37.260000000000005</v>
      </c>
      <c r="AO22" s="12">
        <f>AN22/0.5*10</f>
        <v>745.2</v>
      </c>
      <c r="AP22" s="13">
        <f>SUM(AP20,AP21)</f>
        <v>50.64</v>
      </c>
      <c r="AQ22" s="12">
        <f>AP22/0.5*10</f>
        <v>1012.8</v>
      </c>
      <c r="AR22" s="13">
        <f>SUM(AR20,AR21)</f>
        <v>38.620000000000005</v>
      </c>
      <c r="AS22" s="12">
        <f>AR22/0.5*20</f>
        <v>1544.8000000000002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37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69">
        <f>AK22/AJ24</f>
        <v>0.2072</v>
      </c>
      <c r="AL23" s="31"/>
      <c r="AM23" s="69">
        <f>AM22/AL24</f>
        <v>0.3382</v>
      </c>
      <c r="AN23" s="31"/>
      <c r="AO23" s="69">
        <f>AO22/AN24</f>
        <v>0.37260000000000004</v>
      </c>
      <c r="AP23" s="31"/>
      <c r="AQ23" s="69">
        <f>AQ22/AP24</f>
        <v>0.33760000000000001</v>
      </c>
      <c r="AR23" s="31"/>
      <c r="AS23" s="69">
        <f>AS22/AR24</f>
        <v>0.38620000000000004</v>
      </c>
      <c r="AT23" s="2">
        <f>AVERAGE(AK23,AM23,AO23,AQ23,AS23)</f>
        <v>0.32836000000000004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30">
        <f>ABS(B22-B24)/B24</f>
        <v>0.23574999999999999</v>
      </c>
      <c r="C25" s="33"/>
      <c r="D25" s="98">
        <f>ABS(D22-D24)/D24</f>
        <v>0.53174999999999994</v>
      </c>
      <c r="E25" s="34"/>
      <c r="F25" s="30">
        <f>ABS(F22-F24)/F24</f>
        <v>0.19624999999999987</v>
      </c>
      <c r="G25" s="34"/>
      <c r="H25" s="34"/>
      <c r="I25" s="34"/>
      <c r="J25" s="34"/>
      <c r="L25" s="23"/>
      <c r="M25" s="23"/>
      <c r="N25" s="23"/>
      <c r="O25" s="23"/>
      <c r="P25" s="23"/>
      <c r="Q25" s="23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30">
        <f>ABS(AK22-AJ24)/AJ24</f>
        <v>0.79279999999999995</v>
      </c>
      <c r="AK25" s="23"/>
      <c r="AL25" s="30">
        <f>ABS(AM22-AL24)/AL24</f>
        <v>0.66179999999999994</v>
      </c>
      <c r="AM25" s="38"/>
      <c r="AN25" s="30">
        <f>ABS(AO22-AN24)/AN24</f>
        <v>0.62739999999999996</v>
      </c>
      <c r="AO25" s="38"/>
      <c r="AP25" s="30">
        <f>ABS(AQ22-AP24)/AP24</f>
        <v>0.66239999999999999</v>
      </c>
      <c r="AQ25" s="38"/>
      <c r="AR25" s="30">
        <f>ABS(AS22-AR24)/AR24</f>
        <v>0.6137999999999999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M26" s="35"/>
      <c r="N26" s="35"/>
      <c r="T26" s="35"/>
      <c r="AX26" s="35"/>
      <c r="AY26" s="35"/>
      <c r="AZ26" s="35"/>
      <c r="BA26" s="35"/>
      <c r="BB26" s="35"/>
      <c r="BC26" s="35"/>
    </row>
    <row r="27" spans="1:132" x14ac:dyDescent="0.25"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132" x14ac:dyDescent="0.25">
      <c r="A29" t="s">
        <v>3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132" x14ac:dyDescent="0.25">
      <c r="A31" t="s">
        <v>24</v>
      </c>
      <c r="V31" s="16"/>
      <c r="W31" s="17"/>
      <c r="X31" s="18"/>
      <c r="Y31" s="60"/>
      <c r="Z31" s="18"/>
      <c r="AA31" s="60"/>
      <c r="AB31" s="18"/>
      <c r="AC31" s="60"/>
      <c r="AD31" s="18"/>
      <c r="AE31" s="60"/>
      <c r="AF31" s="18"/>
      <c r="AG31" s="16"/>
    </row>
    <row r="32" spans="1:132" x14ac:dyDescent="0.25">
      <c r="A32" t="s">
        <v>25</v>
      </c>
      <c r="V32" s="16"/>
      <c r="W32" s="16"/>
      <c r="X32" s="23"/>
      <c r="Y32" s="16"/>
      <c r="Z32" s="23"/>
      <c r="AA32" s="16"/>
      <c r="AB32" s="23"/>
      <c r="AC32" s="16"/>
      <c r="AD32" s="23"/>
      <c r="AE32" s="16"/>
      <c r="AF32" s="23"/>
      <c r="AG32" s="16"/>
    </row>
    <row r="33" spans="1:33" x14ac:dyDescent="0.25">
      <c r="V33" s="16"/>
      <c r="W33" s="16"/>
      <c r="X33" s="38"/>
      <c r="Y33" s="16"/>
      <c r="Z33" s="38"/>
      <c r="AA33" s="16"/>
      <c r="AB33" s="38"/>
      <c r="AC33" s="16"/>
      <c r="AD33" s="23"/>
      <c r="AE33" s="16"/>
      <c r="AF33" s="23"/>
      <c r="AG33" s="16"/>
    </row>
    <row r="34" spans="1:33" x14ac:dyDescent="0.25">
      <c r="A34" t="s">
        <v>23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x14ac:dyDescent="0.25">
      <c r="A35" t="s">
        <v>18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x14ac:dyDescent="0.25">
      <c r="V36" s="16"/>
      <c r="W36" s="19"/>
      <c r="X36" s="16"/>
      <c r="Y36" s="19"/>
      <c r="Z36" s="16"/>
      <c r="AA36" s="19"/>
      <c r="AB36" s="16"/>
      <c r="AC36" s="19"/>
      <c r="AD36" s="16"/>
      <c r="AE36" s="19"/>
      <c r="AF36" s="16"/>
      <c r="AG36" s="16"/>
    </row>
    <row r="37" spans="1:33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1:33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33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</row>
    <row r="40" spans="1:33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33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</row>
    <row r="43" spans="1:33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</row>
    <row r="44" spans="1:33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</row>
    <row r="45" spans="1:33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</row>
    <row r="49" spans="22:33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</row>
    <row r="50" spans="22:33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  <ignoredErrors>
    <ignoredError sqref="D11 C22:D22 F22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79998168889431442"/>
  </sheetPr>
  <dimension ref="A1:T27"/>
  <sheetViews>
    <sheetView zoomScale="60" zoomScaleNormal="60" workbookViewId="0">
      <selection activeCell="G4" sqref="G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0.97</v>
      </c>
      <c r="C4" s="119">
        <v>0.84</v>
      </c>
      <c r="D4" s="119">
        <v>0.89</v>
      </c>
      <c r="E4" s="143">
        <v>0.97</v>
      </c>
      <c r="F4" s="123">
        <v>0.85</v>
      </c>
      <c r="G4" s="123">
        <v>0.71</v>
      </c>
      <c r="H4" s="122">
        <v>0.88</v>
      </c>
      <c r="I4" s="123">
        <v>0.87</v>
      </c>
      <c r="J4" s="126">
        <v>0.88</v>
      </c>
      <c r="K4" s="126">
        <v>0.96</v>
      </c>
      <c r="L4" s="126">
        <v>0.94</v>
      </c>
      <c r="M4" s="126">
        <v>0.96</v>
      </c>
      <c r="N4" s="126">
        <v>1.06</v>
      </c>
      <c r="O4" s="126">
        <v>0.66</v>
      </c>
      <c r="P4" s="126">
        <v>0.92</v>
      </c>
      <c r="Q4" s="126">
        <v>0.81</v>
      </c>
      <c r="R4" s="126">
        <v>0.82</v>
      </c>
      <c r="S4" s="126">
        <v>0.84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25">
      <c r="A10" s="116" t="s">
        <v>96</v>
      </c>
      <c r="B10" s="262" t="s">
        <v>350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2">
        <v>156.6</v>
      </c>
      <c r="L10" s="12">
        <v>499.6</v>
      </c>
      <c r="M10" s="12">
        <v>1059.0999999999999</v>
      </c>
      <c r="N10" s="71">
        <v>1347.3</v>
      </c>
      <c r="O10" s="12">
        <v>2080.4</v>
      </c>
      <c r="P10" s="16"/>
      <c r="Q10" s="16"/>
      <c r="R10" s="16"/>
    </row>
    <row r="11" spans="1:20" ht="39" customHeight="1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ht="0.75" customHeight="1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76.5" customHeight="1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79998168889431442"/>
  </sheetPr>
  <dimension ref="A2:GW50"/>
  <sheetViews>
    <sheetView zoomScale="70" zoomScaleNormal="70" zoomScaleSheetLayoutView="40" workbookViewId="0">
      <pane xSplit="1" topLeftCell="Z1" activePane="topRight" state="frozen"/>
      <selection pane="topRight" activeCell="T7" sqref="T7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7.5703125" customWidth="1"/>
    <col min="13" max="19" width="10.7109375" customWidth="1"/>
    <col min="20" max="20" width="11.7109375" customWidth="1"/>
    <col min="22" max="22" width="11.5703125" customWidth="1"/>
    <col min="24" max="24" width="13.5703125" customWidth="1"/>
    <col min="25" max="25" width="10.85546875" bestFit="1" customWidth="1"/>
    <col min="26" max="26" width="9.42578125" customWidth="1"/>
    <col min="27" max="27" width="9.85546875" customWidth="1"/>
    <col min="28" max="28" width="9" customWidth="1"/>
    <col min="29" max="29" width="8.5703125" customWidth="1"/>
    <col min="30" max="31" width="9.5703125" customWidth="1"/>
    <col min="32" max="32" width="10.5703125" customWidth="1"/>
    <col min="33" max="33" width="9.42578125" customWidth="1"/>
    <col min="34" max="34" width="10.7109375" customWidth="1"/>
    <col min="35" max="35" width="10.5703125" customWidth="1"/>
    <col min="36" max="36" width="13.140625" customWidth="1"/>
    <col min="37" max="37" width="17.85546875" customWidth="1"/>
    <col min="38" max="38" width="12.42578125" customWidth="1"/>
    <col min="39" max="39" width="10.5703125" customWidth="1"/>
    <col min="40" max="40" width="14.28515625" customWidth="1"/>
    <col min="41" max="41" width="10.5703125" customWidth="1"/>
    <col min="42" max="42" width="12.85546875" customWidth="1"/>
    <col min="43" max="45" width="10.5703125" customWidth="1"/>
    <col min="46" max="46" width="12.85546875" customWidth="1"/>
    <col min="47" max="47" width="10.5703125" customWidth="1"/>
    <col min="48" max="48" width="14.5703125" customWidth="1"/>
    <col min="49" max="49" width="10.5703125" customWidth="1"/>
    <col min="50" max="50" width="10.7109375" customWidth="1"/>
    <col min="51" max="55" width="10.5703125" customWidth="1"/>
    <col min="56" max="56" width="13.140625" customWidth="1"/>
    <col min="57" max="57" width="10.5703125" customWidth="1"/>
    <col min="58" max="58" width="14.42578125" customWidth="1"/>
    <col min="59" max="65" width="11.140625" customWidth="1"/>
    <col min="66" max="66" width="12.85546875" customWidth="1"/>
    <col min="67" max="69" width="11.140625" customWidth="1"/>
    <col min="70" max="70" width="11.42578125" customWidth="1"/>
    <col min="71" max="71" width="10.140625" customWidth="1"/>
    <col min="72" max="72" width="11.42578125" customWidth="1"/>
    <col min="73" max="73" width="11.85546875" customWidth="1"/>
    <col min="74" max="74" width="11.28515625" customWidth="1"/>
    <col min="77" max="77" width="9.28515625" customWidth="1"/>
    <col min="78" max="78" width="13.5703125" customWidth="1"/>
    <col min="79" max="79" width="9.28515625" customWidth="1"/>
    <col min="80" max="80" width="13.7109375" customWidth="1"/>
    <col min="81" max="81" width="12.7109375" customWidth="1"/>
    <col min="82" max="82" width="14.42578125" customWidth="1"/>
    <col min="83" max="83" width="12.85546875" customWidth="1"/>
    <col min="85" max="85" width="11.42578125" customWidth="1"/>
    <col min="89" max="89" width="12" customWidth="1"/>
    <col min="91" max="91" width="12" customWidth="1"/>
    <col min="95" max="95" width="12" customWidth="1"/>
    <col min="97" max="97" width="11.85546875" customWidth="1"/>
    <col min="99" max="99" width="11.42578125" customWidth="1"/>
    <col min="101" max="101" width="11.28515625" customWidth="1"/>
    <col min="103" max="103" width="12.7109375" customWidth="1"/>
    <col min="109" max="109" width="8.28515625" customWidth="1"/>
    <col min="111" max="111" width="21.85546875" customWidth="1"/>
    <col min="124" max="124" width="20" customWidth="1"/>
    <col min="163" max="165" width="10.5703125" customWidth="1"/>
  </cols>
  <sheetData>
    <row r="2" spans="1:205" ht="15.75" customHeight="1" x14ac:dyDescent="0.25"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DJ2" s="9"/>
    </row>
    <row r="3" spans="1:205" ht="17.25" customHeight="1" x14ac:dyDescent="0.25">
      <c r="A3" t="s">
        <v>204</v>
      </c>
      <c r="V3" s="1"/>
      <c r="X3" s="19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9"/>
      <c r="BV3" s="16"/>
      <c r="BW3" s="19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</row>
    <row r="4" spans="1:205" x14ac:dyDescent="0.25">
      <c r="A4" s="102">
        <v>43902</v>
      </c>
      <c r="V4" s="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9"/>
      <c r="BV4" s="16"/>
      <c r="BW4" s="19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</row>
    <row r="5" spans="1:205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</row>
    <row r="6" spans="1:205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207</v>
      </c>
      <c r="P6" s="50" t="s">
        <v>111</v>
      </c>
      <c r="Q6" s="50" t="s">
        <v>112</v>
      </c>
      <c r="R6" s="50" t="s">
        <v>113</v>
      </c>
      <c r="S6" s="50" t="s">
        <v>206</v>
      </c>
      <c r="T6" s="51" t="s">
        <v>31</v>
      </c>
      <c r="U6" s="50" t="s">
        <v>30</v>
      </c>
      <c r="V6" s="17"/>
      <c r="W6" s="17"/>
      <c r="X6" s="18"/>
      <c r="Y6" s="24" t="s">
        <v>142</v>
      </c>
      <c r="Z6" s="25" t="s">
        <v>16</v>
      </c>
      <c r="AA6" s="26">
        <v>1000</v>
      </c>
      <c r="AB6" s="25" t="s">
        <v>16</v>
      </c>
      <c r="AC6" s="26" t="s">
        <v>144</v>
      </c>
      <c r="AD6" s="25" t="s">
        <v>16</v>
      </c>
      <c r="AE6" s="26" t="s">
        <v>146</v>
      </c>
      <c r="AF6" s="25" t="s">
        <v>16</v>
      </c>
      <c r="AG6" s="26" t="s">
        <v>147</v>
      </c>
      <c r="AH6" s="25" t="s">
        <v>16</v>
      </c>
      <c r="AI6" s="17"/>
      <c r="AJ6" s="17"/>
      <c r="AK6" s="18"/>
      <c r="AL6" s="24" t="s">
        <v>137</v>
      </c>
      <c r="AM6" s="25" t="s">
        <v>16</v>
      </c>
      <c r="AN6" s="26" t="s">
        <v>74</v>
      </c>
      <c r="AO6" s="25" t="s">
        <v>16</v>
      </c>
      <c r="AP6" s="26" t="s">
        <v>138</v>
      </c>
      <c r="AQ6" s="25" t="s">
        <v>16</v>
      </c>
      <c r="AR6" s="26" t="s">
        <v>73</v>
      </c>
      <c r="AS6" s="25" t="s">
        <v>16</v>
      </c>
      <c r="AT6" s="26" t="s">
        <v>139</v>
      </c>
      <c r="AU6" s="25" t="s">
        <v>16</v>
      </c>
      <c r="AV6" s="17"/>
      <c r="AW6" s="27" t="s">
        <v>54</v>
      </c>
      <c r="AX6" s="24"/>
      <c r="AY6" s="27" t="s">
        <v>55</v>
      </c>
      <c r="AZ6" s="24"/>
      <c r="BA6" s="18"/>
      <c r="BB6" s="17"/>
      <c r="BC6" s="18"/>
      <c r="BD6" s="17"/>
      <c r="BE6" s="18"/>
      <c r="BF6" s="63"/>
      <c r="BG6" s="18"/>
      <c r="BH6" s="64"/>
      <c r="BI6" s="18"/>
      <c r="BJ6" s="64"/>
      <c r="BK6" s="18"/>
      <c r="BL6" s="17"/>
      <c r="BM6" s="63"/>
      <c r="BN6" s="63"/>
      <c r="BO6" s="17"/>
      <c r="BP6" s="65"/>
      <c r="BQ6" s="18"/>
      <c r="BR6" s="64"/>
      <c r="BS6" s="18"/>
      <c r="BT6" s="64"/>
      <c r="BU6" s="18"/>
      <c r="BV6" s="17"/>
      <c r="BW6" s="63"/>
      <c r="BX6" s="63"/>
      <c r="BY6" s="16"/>
      <c r="BZ6" s="65"/>
      <c r="CA6" s="18"/>
      <c r="CB6" s="64"/>
      <c r="CC6" s="18"/>
      <c r="CD6" s="64"/>
      <c r="CE6" s="18"/>
      <c r="CF6" s="17"/>
      <c r="CG6" s="63"/>
      <c r="CH6" s="63"/>
      <c r="CI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6"/>
      <c r="DF6" s="4"/>
      <c r="DG6" s="4"/>
      <c r="DH6" s="4"/>
      <c r="DI6" s="4"/>
      <c r="DL6" s="4"/>
      <c r="DM6" s="4"/>
      <c r="DN6" s="4"/>
      <c r="DO6" s="4"/>
      <c r="DP6" s="4"/>
      <c r="DQ6" s="4"/>
      <c r="DR6" s="4"/>
      <c r="DS6" s="4"/>
      <c r="DU6" s="4"/>
      <c r="DV6" s="4"/>
      <c r="DW6" s="4"/>
      <c r="DX6" s="4"/>
      <c r="DY6" s="4"/>
      <c r="DZ6" s="4"/>
      <c r="EC6" s="4"/>
      <c r="ED6" s="4"/>
      <c r="EE6" s="4"/>
      <c r="EF6" s="4"/>
      <c r="EG6" s="4"/>
      <c r="EH6" s="4"/>
      <c r="EI6" s="4"/>
      <c r="EJ6" s="4"/>
      <c r="EM6" s="4"/>
      <c r="EN6" s="4"/>
      <c r="EO6" s="4"/>
      <c r="EP6" s="4"/>
      <c r="EQ6" s="4"/>
      <c r="ER6" s="4"/>
      <c r="ES6" s="4"/>
      <c r="ET6" s="4"/>
      <c r="EU6" s="4"/>
      <c r="EV6" s="4"/>
      <c r="EX6" s="4"/>
      <c r="EY6" s="4"/>
      <c r="EZ6" s="4"/>
      <c r="FA6" s="4"/>
      <c r="FB6" s="4"/>
      <c r="FC6" s="4"/>
      <c r="FD6" s="4"/>
      <c r="FE6" s="4"/>
      <c r="FF6" s="4"/>
      <c r="FG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I6" s="4"/>
      <c r="GJ6" s="4"/>
      <c r="GK6" s="4"/>
      <c r="GL6" s="4"/>
      <c r="GM6" s="4"/>
      <c r="GN6" s="4"/>
      <c r="GO6" s="4"/>
      <c r="GP6" s="4"/>
      <c r="GQ6" s="4"/>
      <c r="GR6" s="4"/>
      <c r="GT6" s="4"/>
    </row>
    <row r="7" spans="1:205" ht="15.75" x14ac:dyDescent="0.25">
      <c r="A7" t="s">
        <v>5</v>
      </c>
      <c r="B7" s="12">
        <v>1.86</v>
      </c>
      <c r="C7" s="29">
        <f>B7/AVERAGE($M7,$N7)</f>
        <v>4.6016823354774868E-2</v>
      </c>
      <c r="D7" s="12">
        <v>1.91</v>
      </c>
      <c r="E7" s="29">
        <f>D7/AVERAGE($M7,$N7)</f>
        <v>4.7253834735279561E-2</v>
      </c>
      <c r="F7" s="12">
        <v>2.0699999999999998</v>
      </c>
      <c r="G7" s="29">
        <f>F7/AVERAGE($M7,$N7)</f>
        <v>5.1212271152894603E-2</v>
      </c>
      <c r="H7" s="33"/>
      <c r="I7" s="274">
        <f>AVERAGE(B7,D7,F7)</f>
        <v>1.9466666666666665</v>
      </c>
      <c r="J7" s="30">
        <f>STDEV(B7,D7,F7)/I7</f>
        <v>5.6350968054466849E-2</v>
      </c>
      <c r="K7" s="19"/>
      <c r="L7" s="12">
        <v>39.119999999999997</v>
      </c>
      <c r="M7" s="12">
        <v>40.58</v>
      </c>
      <c r="N7" s="12">
        <v>40.26</v>
      </c>
      <c r="O7" s="12">
        <v>40.14</v>
      </c>
      <c r="P7" s="12">
        <v>40.75</v>
      </c>
      <c r="Q7" s="12">
        <v>41.79</v>
      </c>
      <c r="R7" s="12">
        <v>39.71</v>
      </c>
      <c r="S7" s="12">
        <v>41.24</v>
      </c>
      <c r="T7" s="141">
        <f>AVERAGE(L7,M7,N7,O7,P7,Q7,R7,S7)</f>
        <v>40.448749999999997</v>
      </c>
      <c r="U7" s="54">
        <f>ABS(L7-P7)/AVERAGE(P7,L7)</f>
        <v>4.0816326530612304E-2</v>
      </c>
      <c r="V7" s="38"/>
      <c r="W7" s="38"/>
      <c r="X7" s="16"/>
      <c r="Y7" s="12">
        <v>1.89</v>
      </c>
      <c r="Z7" s="29">
        <f>Y7/AVERAGE($M7,$N7)</f>
        <v>4.6759030183077678E-2</v>
      </c>
      <c r="AA7" s="12">
        <v>1.99</v>
      </c>
      <c r="AB7" s="29">
        <f>AA7/AVERAGE($M7,$N7)</f>
        <v>4.9233052944087086E-2</v>
      </c>
      <c r="AC7" s="12">
        <v>1.91</v>
      </c>
      <c r="AD7" s="29">
        <f>AC7/AVERAGE($M7,$N7)</f>
        <v>4.7253834735279561E-2</v>
      </c>
      <c r="AE7" s="12">
        <v>1.94</v>
      </c>
      <c r="AF7" s="29">
        <f>AE7/AVERAGE($M7,$N7)</f>
        <v>4.7996041563582378E-2</v>
      </c>
      <c r="AG7" s="12">
        <v>2.08</v>
      </c>
      <c r="AH7" s="29">
        <f>AG7/AVERAGE($M7,$N7)</f>
        <v>5.1459673428995545E-2</v>
      </c>
      <c r="AI7" s="16"/>
      <c r="AJ7" s="38"/>
      <c r="AK7" s="20"/>
      <c r="AL7" s="12" t="s">
        <v>159</v>
      </c>
      <c r="AM7" s="29" t="e">
        <f>AL7*10/AVERAGE($L7,$M7)</f>
        <v>#VALUE!</v>
      </c>
      <c r="AN7" s="12" t="s">
        <v>159</v>
      </c>
      <c r="AO7" s="29" t="e">
        <f>AN7*10/AVERAGE($L7,$M7)</f>
        <v>#VALUE!</v>
      </c>
      <c r="AP7" s="12" t="s">
        <v>158</v>
      </c>
      <c r="AQ7" s="29" t="e">
        <f>AP7*10/AVERAGE($L7,$M7)</f>
        <v>#VALUE!</v>
      </c>
      <c r="AR7" s="12" t="s">
        <v>158</v>
      </c>
      <c r="AS7" s="29" t="e">
        <f>AR7*10/AVERAGE($L7,$M7)</f>
        <v>#VALUE!</v>
      </c>
      <c r="AT7" s="12" t="s">
        <v>158</v>
      </c>
      <c r="AU7" s="29" t="e">
        <f>AT7*20/AVERAGE($L7,$M7)</f>
        <v>#VALUE!</v>
      </c>
      <c r="AV7" s="43"/>
      <c r="AW7" s="12">
        <v>2.13</v>
      </c>
      <c r="AX7" s="29">
        <f>AW7/AVERAGE($L7,$M7)</f>
        <v>5.3450439146800505E-2</v>
      </c>
      <c r="AY7" s="12">
        <v>2.06</v>
      </c>
      <c r="AZ7" s="29">
        <f>AY7/AVERAGE($L7,$M7)</f>
        <v>5.1693851944792979E-2</v>
      </c>
      <c r="BA7" s="16"/>
      <c r="BB7" s="23"/>
      <c r="BC7" s="16"/>
      <c r="BD7" s="23"/>
      <c r="BE7" s="20"/>
      <c r="BF7" s="43"/>
      <c r="BG7" s="23"/>
      <c r="BH7" s="16"/>
      <c r="BI7" s="23"/>
      <c r="BJ7" s="16"/>
      <c r="BK7" s="23"/>
      <c r="BL7" s="23"/>
      <c r="BM7" s="16"/>
      <c r="BN7" s="38"/>
      <c r="BO7" s="16"/>
      <c r="BP7" s="43"/>
      <c r="BQ7" s="23"/>
      <c r="BR7" s="16"/>
      <c r="BS7" s="23"/>
      <c r="BT7" s="16"/>
      <c r="BU7" s="23"/>
      <c r="BV7" s="23"/>
      <c r="BW7" s="16"/>
      <c r="BX7" s="38"/>
      <c r="BY7" s="20"/>
      <c r="BZ7" s="43"/>
      <c r="CA7" s="23"/>
      <c r="CB7" s="16"/>
      <c r="CC7" s="23"/>
      <c r="CD7" s="16"/>
      <c r="CE7" s="23"/>
      <c r="CF7" s="23"/>
      <c r="CG7" s="16"/>
      <c r="CH7" s="38"/>
      <c r="CI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6"/>
      <c r="CZ7" s="20"/>
      <c r="DA7" s="19"/>
      <c r="DB7" s="19"/>
      <c r="DC7" s="19"/>
      <c r="DD7" s="19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5"/>
      <c r="EZ7" s="8"/>
      <c r="FB7" s="8"/>
      <c r="FD7" s="8"/>
      <c r="FF7" s="1"/>
      <c r="FG7" s="8"/>
      <c r="FH7" s="2"/>
      <c r="FI7" s="5"/>
      <c r="FK7" s="8"/>
      <c r="FM7" s="8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</row>
    <row r="8" spans="1:205" ht="15.75" x14ac:dyDescent="0.25">
      <c r="A8" t="s">
        <v>9</v>
      </c>
      <c r="B8" s="12">
        <v>38</v>
      </c>
      <c r="C8" s="30">
        <f>B8/AVERAGE($M8,$N8)</f>
        <v>0.97311139564660698</v>
      </c>
      <c r="D8" s="12">
        <v>32.770000000000003</v>
      </c>
      <c r="E8" s="30">
        <f>D8/AVERAGE($M8,$N8)</f>
        <v>0.83918053777208723</v>
      </c>
      <c r="F8" s="12">
        <v>34.65</v>
      </c>
      <c r="G8" s="30">
        <f>F8/AVERAGE($M8,$N8)</f>
        <v>0.88732394366197187</v>
      </c>
      <c r="H8" s="34"/>
      <c r="I8" s="12">
        <f>AVERAGE(B8,D8,F8)</f>
        <v>35.140000000000008</v>
      </c>
      <c r="J8" s="30">
        <f>STDEV(B8,D8,F8)/I8</f>
        <v>7.5390080496507986E-2</v>
      </c>
      <c r="K8" s="19"/>
      <c r="L8" s="12">
        <v>38.630000000000003</v>
      </c>
      <c r="M8" s="12">
        <v>38.86</v>
      </c>
      <c r="N8" s="12">
        <v>39.24</v>
      </c>
      <c r="O8" s="12">
        <v>39.450000000000003</v>
      </c>
      <c r="P8" s="12">
        <v>39.729999999999997</v>
      </c>
      <c r="Q8" s="12">
        <v>40.200000000000003</v>
      </c>
      <c r="R8" s="12">
        <v>40.6</v>
      </c>
      <c r="S8" s="12">
        <v>39.58</v>
      </c>
      <c r="T8" s="141">
        <f>AVERAGE(L8,M8,N8,O8,P8,Q8,R8,S8)</f>
        <v>39.536250000000003</v>
      </c>
      <c r="U8" s="54">
        <f>ABS(L8-P8)/AVERAGE(P8,L8)</f>
        <v>2.8075548749361773E-2</v>
      </c>
      <c r="V8" s="38"/>
      <c r="W8" s="38"/>
      <c r="X8" s="16"/>
      <c r="Y8" s="12">
        <v>34.29</v>
      </c>
      <c r="Z8" s="30">
        <f>Y8/AVERAGE($M8,$N8)</f>
        <v>0.87810499359795136</v>
      </c>
      <c r="AA8" s="12">
        <v>37.5</v>
      </c>
      <c r="AB8" s="30">
        <f>AA8/AVERAGE($M8,$N8)</f>
        <v>0.96030729833546746</v>
      </c>
      <c r="AC8" s="12">
        <v>36.700000000000003</v>
      </c>
      <c r="AD8" s="30">
        <f>AC8/AVERAGE($M8,$N8)</f>
        <v>0.93982074263764415</v>
      </c>
      <c r="AE8" s="12">
        <v>37.39</v>
      </c>
      <c r="AF8" s="30">
        <f>AE8/AVERAGE($M8,$N8)</f>
        <v>0.95749039692701676</v>
      </c>
      <c r="AG8" s="12">
        <v>41.56</v>
      </c>
      <c r="AH8" s="30">
        <f>AG8/AVERAGE($M8,$N8)</f>
        <v>1.0642765685019207</v>
      </c>
      <c r="AI8" s="16"/>
      <c r="AJ8" s="23"/>
      <c r="AK8" s="20"/>
      <c r="AL8" s="12" t="s">
        <v>159</v>
      </c>
      <c r="AM8" s="30" t="e">
        <f>AL8*10/AVERAGE($L8,$M8)</f>
        <v>#VALUE!</v>
      </c>
      <c r="AN8" s="12" t="s">
        <v>159</v>
      </c>
      <c r="AO8" s="30" t="e">
        <f>AN8*10/AVERAGE($L8,$M8)</f>
        <v>#VALUE!</v>
      </c>
      <c r="AP8" s="12" t="s">
        <v>158</v>
      </c>
      <c r="AQ8" s="30" t="e">
        <f>AP8*10/AVERAGE($L8,$M8)</f>
        <v>#VALUE!</v>
      </c>
      <c r="AR8" s="12" t="s">
        <v>158</v>
      </c>
      <c r="AS8" s="30" t="e">
        <f>AR8*10/AVERAGE($L8,$M8)</f>
        <v>#VALUE!</v>
      </c>
      <c r="AT8" s="12" t="s">
        <v>158</v>
      </c>
      <c r="AU8" s="30" t="e">
        <f>AT8*20/AVERAGE($L8,$M8)</f>
        <v>#VALUE!</v>
      </c>
      <c r="AV8" s="43"/>
      <c r="AW8" s="12">
        <v>34.229999999999997</v>
      </c>
      <c r="AX8" s="30">
        <f>AW8/AVERAGE($L8,$M8)</f>
        <v>0.88346883468834669</v>
      </c>
      <c r="AY8" s="12">
        <v>33.67</v>
      </c>
      <c r="AZ8" s="30">
        <f>AY8/AVERAGE($L8,$M8)</f>
        <v>0.86901535682023479</v>
      </c>
      <c r="BA8" s="16"/>
      <c r="BB8" s="38"/>
      <c r="BC8" s="16"/>
      <c r="BD8" s="38"/>
      <c r="BE8" s="20"/>
      <c r="BF8" s="43"/>
      <c r="BG8" s="38"/>
      <c r="BH8" s="16"/>
      <c r="BI8" s="38"/>
      <c r="BJ8" s="16"/>
      <c r="BK8" s="38"/>
      <c r="BL8" s="38"/>
      <c r="BM8" s="16"/>
      <c r="BN8" s="38"/>
      <c r="BO8" s="16"/>
      <c r="BP8" s="43"/>
      <c r="BQ8" s="23"/>
      <c r="BR8" s="16"/>
      <c r="BS8" s="23"/>
      <c r="BT8" s="16"/>
      <c r="BU8" s="23"/>
      <c r="BV8" s="38"/>
      <c r="BW8" s="16"/>
      <c r="BX8" s="38"/>
      <c r="BY8" s="20"/>
      <c r="BZ8" s="43"/>
      <c r="CA8" s="23"/>
      <c r="CB8" s="16"/>
      <c r="CC8" s="23"/>
      <c r="CD8" s="16"/>
      <c r="CE8" s="23"/>
      <c r="CF8" s="38"/>
      <c r="CG8" s="16"/>
      <c r="CH8" s="38"/>
      <c r="CI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6"/>
      <c r="CZ8" s="20"/>
      <c r="DA8" s="19"/>
      <c r="DB8" s="19"/>
      <c r="DC8" s="19"/>
      <c r="DD8" s="19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5"/>
      <c r="EZ8" s="8"/>
      <c r="FB8" s="8"/>
      <c r="FD8" s="8"/>
      <c r="FF8" s="1"/>
      <c r="FG8" s="8"/>
      <c r="FH8" s="2"/>
      <c r="FI8" s="5"/>
      <c r="FK8" s="8"/>
      <c r="FM8" s="8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</row>
    <row r="9" spans="1:205" ht="15.75" x14ac:dyDescent="0.25">
      <c r="A9" t="s">
        <v>7</v>
      </c>
      <c r="B9" s="12">
        <v>10.54</v>
      </c>
      <c r="C9" s="30">
        <f>B9/AVERAGE($M9,$N9)</f>
        <v>0.7942727957799548</v>
      </c>
      <c r="D9" s="12">
        <v>10.01</v>
      </c>
      <c r="E9" s="30">
        <f>D9/AVERAGE($M9,$N9)</f>
        <v>0.75433308214016581</v>
      </c>
      <c r="F9" s="12">
        <v>12.01</v>
      </c>
      <c r="G9" s="30">
        <f>F9/AVERAGE($M9,$N9)</f>
        <v>0.90504898266767142</v>
      </c>
      <c r="H9" s="34"/>
      <c r="I9" s="274">
        <f>AVERAGE(B9,D9,F9)</f>
        <v>10.853333333333332</v>
      </c>
      <c r="J9" s="30">
        <f>STDEV(B9,D9,F9)/I9</f>
        <v>9.5469544797834524E-2</v>
      </c>
      <c r="K9" s="16"/>
      <c r="L9" s="12">
        <v>12.53</v>
      </c>
      <c r="M9" s="12">
        <v>13.86</v>
      </c>
      <c r="N9" s="12">
        <v>12.68</v>
      </c>
      <c r="O9" s="12">
        <v>12.53</v>
      </c>
      <c r="P9" s="12">
        <v>11.59</v>
      </c>
      <c r="Q9" s="12">
        <v>13.04</v>
      </c>
      <c r="R9" s="12">
        <v>13.39</v>
      </c>
      <c r="S9" s="12">
        <v>13.54</v>
      </c>
      <c r="T9" s="141">
        <f>AVERAGE(L9,M9,N9,O9,P9,Q9,R9,S9)</f>
        <v>12.895</v>
      </c>
      <c r="U9" s="54">
        <f>ABS(L9-P9)/AVERAGE(P9,L9)</f>
        <v>7.7943615257048057E-2</v>
      </c>
      <c r="V9" s="38"/>
      <c r="W9" s="38"/>
      <c r="X9" s="16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6"/>
      <c r="AJ9" s="45"/>
      <c r="AK9" s="43"/>
      <c r="AL9" s="12">
        <v>4.54</v>
      </c>
      <c r="AM9" s="12">
        <f>AL9/0.5*10</f>
        <v>90.8</v>
      </c>
      <c r="AN9" s="12">
        <v>12.93</v>
      </c>
      <c r="AO9" s="12">
        <f>AN9/0.5*10</f>
        <v>258.60000000000002</v>
      </c>
      <c r="AP9" s="12">
        <v>31.02</v>
      </c>
      <c r="AQ9" s="12">
        <f>AP9/0.5*10</f>
        <v>620.4</v>
      </c>
      <c r="AR9" s="12">
        <v>35.08</v>
      </c>
      <c r="AS9" s="12">
        <f>AR9/0.5*10</f>
        <v>701.59999999999991</v>
      </c>
      <c r="AT9" s="12">
        <v>24.92</v>
      </c>
      <c r="AU9" s="12">
        <f>AT9/0.5*20</f>
        <v>996.80000000000007</v>
      </c>
      <c r="AV9" s="45"/>
      <c r="AW9" s="12" t="s">
        <v>159</v>
      </c>
      <c r="AX9" s="12"/>
      <c r="AY9" s="12" t="s">
        <v>159</v>
      </c>
      <c r="AZ9" s="12"/>
      <c r="BA9" s="16"/>
      <c r="BB9" s="16"/>
      <c r="BC9" s="16"/>
      <c r="BD9" s="16"/>
      <c r="BE9" s="19"/>
      <c r="BF9" s="43"/>
      <c r="BG9" s="16"/>
      <c r="BH9" s="16"/>
      <c r="BI9" s="16"/>
      <c r="BJ9" s="16"/>
      <c r="BK9" s="16"/>
      <c r="BL9" s="38"/>
      <c r="BM9" s="16"/>
      <c r="BN9" s="38"/>
      <c r="BO9" s="16"/>
      <c r="BP9" s="43"/>
      <c r="BQ9" s="16"/>
      <c r="BR9" s="16"/>
      <c r="BS9" s="16"/>
      <c r="BT9" s="16"/>
      <c r="BU9" s="16"/>
      <c r="BV9" s="38"/>
      <c r="BW9" s="16"/>
      <c r="BX9" s="38"/>
      <c r="BY9" s="20"/>
      <c r="BZ9" s="43"/>
      <c r="CA9" s="16"/>
      <c r="CB9" s="16"/>
      <c r="CC9" s="16"/>
      <c r="CD9" s="16"/>
      <c r="CE9" s="16"/>
      <c r="CF9" s="38"/>
      <c r="CG9" s="16"/>
      <c r="CH9" s="38"/>
      <c r="CI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16"/>
      <c r="CZ9" s="19"/>
      <c r="DA9" s="46"/>
      <c r="DB9" s="16"/>
      <c r="DC9" s="46"/>
      <c r="DD9" s="45"/>
      <c r="DE9" s="2"/>
      <c r="DF9" s="2"/>
      <c r="DJ9" s="6"/>
      <c r="DK9" s="2"/>
      <c r="DM9" s="8"/>
      <c r="DO9" s="8"/>
      <c r="DP9" s="8"/>
      <c r="DQ9" s="8"/>
      <c r="DR9" s="8"/>
      <c r="DS9" s="8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5"/>
      <c r="EF9" s="1"/>
      <c r="EH9" s="1"/>
      <c r="EJ9" s="1"/>
      <c r="EK9" s="1"/>
      <c r="EL9" s="2"/>
      <c r="EM9" s="2"/>
      <c r="EO9" s="7"/>
      <c r="EQ9" s="7"/>
      <c r="ES9" s="7"/>
      <c r="EU9" s="7"/>
      <c r="EV9" s="7"/>
      <c r="EW9" s="7"/>
      <c r="EX9" s="7"/>
      <c r="EZ9" s="7"/>
      <c r="FB9" s="7"/>
      <c r="FD9" s="7"/>
      <c r="FF9" s="7"/>
      <c r="FG9" s="7"/>
      <c r="FH9" s="7"/>
      <c r="FI9" s="7"/>
      <c r="FK9" s="7"/>
      <c r="FM9" s="7"/>
      <c r="FO9" s="7"/>
      <c r="FQ9" s="7"/>
      <c r="FS9" s="7"/>
      <c r="FT9" s="7"/>
      <c r="FU9" s="7"/>
      <c r="FV9" s="7"/>
      <c r="FX9" s="7"/>
      <c r="FZ9" s="7"/>
      <c r="GB9" s="7"/>
      <c r="GD9" s="7"/>
      <c r="GF9" s="7"/>
      <c r="GG9" s="7"/>
      <c r="GH9" s="7"/>
      <c r="GI9" s="7"/>
      <c r="GK9" s="7"/>
      <c r="GM9" s="7"/>
      <c r="GO9" s="7"/>
      <c r="GQ9" s="7"/>
      <c r="GR9" s="2"/>
      <c r="GS9" s="2"/>
      <c r="GT9" s="2"/>
    </row>
    <row r="10" spans="1:205" ht="15.75" x14ac:dyDescent="0.25">
      <c r="A10" t="s">
        <v>6</v>
      </c>
      <c r="B10" s="12">
        <v>17.170000000000002</v>
      </c>
      <c r="C10" s="30">
        <f>B10/AVERAGE($M10,$N10)</f>
        <v>0.65823270078589236</v>
      </c>
      <c r="D10" s="12">
        <v>18.09</v>
      </c>
      <c r="E10" s="30">
        <f>D10/AVERAGE($M10,$N10)</f>
        <v>0.6935020126509488</v>
      </c>
      <c r="F10" s="12">
        <v>21.19</v>
      </c>
      <c r="G10" s="30">
        <f>F10/AVERAGE($M10,$N10)</f>
        <v>0.81234425915276987</v>
      </c>
      <c r="H10" s="34"/>
      <c r="I10" s="274">
        <f>AVERAGE(B10,D10,F10)</f>
        <v>18.816666666666666</v>
      </c>
      <c r="J10" s="30">
        <f>STDEV(B10,D10,F10)/I10</f>
        <v>0.11193337633272249</v>
      </c>
      <c r="K10" s="16"/>
      <c r="L10" s="12">
        <v>25.69</v>
      </c>
      <c r="M10" s="12">
        <v>27.09</v>
      </c>
      <c r="N10" s="12">
        <v>25.08</v>
      </c>
      <c r="O10" s="12">
        <v>24.02</v>
      </c>
      <c r="P10" s="12">
        <v>24.04</v>
      </c>
      <c r="Q10" s="12">
        <v>26.91</v>
      </c>
      <c r="R10" s="12">
        <v>26.34</v>
      </c>
      <c r="S10" s="12">
        <v>26.84</v>
      </c>
      <c r="T10" s="141">
        <f>AVERAGE(L10,M10,N10,O10,P10,Q10,R10,S10)</f>
        <v>25.751249999999999</v>
      </c>
      <c r="U10" s="54">
        <f>ABS(L10-P10)/AVERAGE(P10,L10)</f>
        <v>6.6358335009048947E-2</v>
      </c>
      <c r="V10" s="38"/>
      <c r="W10" s="38"/>
      <c r="X10" s="16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6"/>
      <c r="AJ10" s="45"/>
      <c r="AK10" s="43"/>
      <c r="AL10" s="12">
        <v>7.27</v>
      </c>
      <c r="AM10" s="12">
        <f>AL10/0.5*10</f>
        <v>145.39999999999998</v>
      </c>
      <c r="AN10" s="12">
        <v>21.4</v>
      </c>
      <c r="AO10" s="12">
        <f>AN10/0.5*10</f>
        <v>428</v>
      </c>
      <c r="AP10" s="12">
        <v>51.79</v>
      </c>
      <c r="AQ10" s="12">
        <f>AP10/0.5*10</f>
        <v>1035.8</v>
      </c>
      <c r="AR10" s="12">
        <v>63.84</v>
      </c>
      <c r="AS10" s="12">
        <f>AR10/0.5*10</f>
        <v>1276.8000000000002</v>
      </c>
      <c r="AT10" s="12">
        <v>42.89</v>
      </c>
      <c r="AU10" s="12">
        <f>AT10/0.5*20</f>
        <v>1715.6</v>
      </c>
      <c r="AV10" s="45"/>
      <c r="AW10" s="12" t="s">
        <v>159</v>
      </c>
      <c r="AX10" s="12"/>
      <c r="AY10" s="12" t="s">
        <v>159</v>
      </c>
      <c r="AZ10" s="12"/>
      <c r="BA10" s="16"/>
      <c r="BB10" s="16"/>
      <c r="BC10" s="16"/>
      <c r="BD10" s="16"/>
      <c r="BE10" s="19"/>
      <c r="BF10" s="43"/>
      <c r="BG10" s="16"/>
      <c r="BH10" s="16"/>
      <c r="BI10" s="16"/>
      <c r="BJ10" s="16"/>
      <c r="BK10" s="16"/>
      <c r="BL10" s="38"/>
      <c r="BM10" s="16"/>
      <c r="BN10" s="38"/>
      <c r="BO10" s="16"/>
      <c r="BP10" s="43"/>
      <c r="BQ10" s="16"/>
      <c r="BR10" s="16"/>
      <c r="BS10" s="16"/>
      <c r="BT10" s="16"/>
      <c r="BU10" s="16"/>
      <c r="BV10" s="38"/>
      <c r="BW10" s="16"/>
      <c r="BX10" s="38"/>
      <c r="BY10" s="20"/>
      <c r="BZ10" s="43"/>
      <c r="CA10" s="16"/>
      <c r="CB10" s="16"/>
      <c r="CC10" s="16"/>
      <c r="CD10" s="16"/>
      <c r="CE10" s="16"/>
      <c r="CF10" s="38"/>
      <c r="CG10" s="16"/>
      <c r="CH10" s="38"/>
      <c r="CI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16"/>
      <c r="CZ10" s="19"/>
      <c r="DA10" s="46"/>
      <c r="DB10" s="16"/>
      <c r="DC10" s="46"/>
      <c r="DD10" s="45"/>
      <c r="DE10" s="2"/>
      <c r="DF10" s="2"/>
      <c r="DI10" s="1"/>
      <c r="DJ10" s="6"/>
      <c r="DK10" s="2"/>
      <c r="DM10" s="8"/>
      <c r="DO10" s="8"/>
      <c r="DP10" s="8"/>
      <c r="DQ10" s="8"/>
      <c r="DR10" s="8"/>
      <c r="DS10" s="8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5"/>
      <c r="EF10" s="1"/>
      <c r="EH10" s="1"/>
      <c r="EJ10" s="1"/>
      <c r="EK10" s="1"/>
      <c r="EL10" s="2"/>
      <c r="EM10" s="2"/>
      <c r="EO10" s="7"/>
      <c r="EQ10" s="7"/>
      <c r="ES10" s="7"/>
      <c r="EU10" s="7"/>
      <c r="EV10" s="7"/>
      <c r="EW10" s="7"/>
      <c r="EX10" s="7"/>
      <c r="EZ10" s="7"/>
      <c r="FB10" s="7"/>
      <c r="FD10" s="7"/>
      <c r="FF10" s="7"/>
      <c r="FG10" s="7"/>
      <c r="FH10" s="7"/>
      <c r="FI10" s="7"/>
      <c r="FK10" s="7"/>
      <c r="FM10" s="7"/>
      <c r="FO10" s="7"/>
      <c r="FQ10" s="7"/>
      <c r="FS10" s="7"/>
      <c r="FT10" s="7"/>
      <c r="FU10" s="7"/>
      <c r="FV10" s="7"/>
      <c r="FX10" s="7"/>
      <c r="FZ10" s="7"/>
      <c r="GB10" s="7"/>
      <c r="GD10" s="7"/>
      <c r="GF10" s="7"/>
      <c r="GG10" s="7"/>
      <c r="GH10" s="7"/>
      <c r="GI10" s="7"/>
      <c r="GK10" s="7"/>
      <c r="GM10" s="7"/>
      <c r="GO10" s="7"/>
      <c r="GQ10" s="7"/>
      <c r="GR10" s="2"/>
      <c r="GS10" s="2"/>
      <c r="GT10" s="2"/>
    </row>
    <row r="11" spans="1:205" ht="15.75" x14ac:dyDescent="0.25">
      <c r="A11" t="s">
        <v>17</v>
      </c>
      <c r="B11" s="52">
        <f>SUM(B9,B10)</f>
        <v>27.71</v>
      </c>
      <c r="C11" s="30">
        <f>B11/AVERAGE($M11,$N11)</f>
        <v>0.70410367170626342</v>
      </c>
      <c r="D11" s="52">
        <f>SUM(D$10+D$9)</f>
        <v>28.1</v>
      </c>
      <c r="E11" s="30">
        <f>D11/AVERAGE($M11,$N11)</f>
        <v>0.71401346715792147</v>
      </c>
      <c r="F11" s="52">
        <f>SUM(F$10+F$9)</f>
        <v>33.200000000000003</v>
      </c>
      <c r="G11" s="30">
        <f>F11/AVERAGE($M11,$N11)</f>
        <v>0.8436030999872951</v>
      </c>
      <c r="H11" s="34"/>
      <c r="I11" s="12">
        <f>AVERAGE(B11,D11)</f>
        <v>27.905000000000001</v>
      </c>
      <c r="J11" s="30">
        <f>STDEV(B11,D11,F11)/I11</f>
        <v>0.10977540057621556</v>
      </c>
      <c r="K11" s="19"/>
      <c r="L11" s="136">
        <f t="shared" ref="L11:S11" si="0">SUM(L9,L10)</f>
        <v>38.22</v>
      </c>
      <c r="M11" s="136">
        <f t="shared" si="0"/>
        <v>40.950000000000003</v>
      </c>
      <c r="N11" s="136">
        <f t="shared" si="0"/>
        <v>37.76</v>
      </c>
      <c r="O11" s="136">
        <f t="shared" si="0"/>
        <v>36.549999999999997</v>
      </c>
      <c r="P11" s="136">
        <f t="shared" si="0"/>
        <v>35.629999999999995</v>
      </c>
      <c r="Q11" s="136">
        <f t="shared" si="0"/>
        <v>39.950000000000003</v>
      </c>
      <c r="R11" s="52">
        <f t="shared" si="0"/>
        <v>39.730000000000004</v>
      </c>
      <c r="S11" s="52">
        <f t="shared" si="0"/>
        <v>40.379999999999995</v>
      </c>
      <c r="T11" s="141">
        <f>AVERAGE(L11,M11,N11,O11,P11,Q11,R11,S11)</f>
        <v>38.646250000000002</v>
      </c>
      <c r="U11" s="54">
        <f>ABS(L11-P11)/AVERAGE(P11,L11)</f>
        <v>7.014218009478683E-2</v>
      </c>
      <c r="V11" s="38"/>
      <c r="W11" s="38"/>
      <c r="X11" s="16"/>
      <c r="Y11" s="13"/>
      <c r="Z11" s="12"/>
      <c r="AA11" s="13"/>
      <c r="AB11" s="12"/>
      <c r="AC11" s="13"/>
      <c r="AD11" s="12"/>
      <c r="AE11" s="13"/>
      <c r="AF11" s="12"/>
      <c r="AG11" s="13"/>
      <c r="AH11" s="12"/>
      <c r="AI11" s="16"/>
      <c r="AJ11" s="45"/>
      <c r="AK11" s="43"/>
      <c r="AL11" s="12">
        <f>SUM(AL9,AL10)</f>
        <v>11.809999999999999</v>
      </c>
      <c r="AM11" s="12">
        <f>AL11/0.5*10</f>
        <v>236.2</v>
      </c>
      <c r="AN11" s="12">
        <f>SUM(AN9,AN10)</f>
        <v>34.33</v>
      </c>
      <c r="AO11" s="12">
        <f>AN11/0.5*10</f>
        <v>686.59999999999991</v>
      </c>
      <c r="AP11" s="12">
        <f>SUM(AP9,AP10)</f>
        <v>82.81</v>
      </c>
      <c r="AQ11" s="12">
        <f>AP11/0.5*10</f>
        <v>1656.2</v>
      </c>
      <c r="AR11" s="13">
        <f>SUM(AR9,AR10)</f>
        <v>98.92</v>
      </c>
      <c r="AS11" s="12">
        <f>AR11/0.5*10</f>
        <v>1978.4</v>
      </c>
      <c r="AT11" s="13">
        <f>SUM(AT9,AT10)</f>
        <v>67.81</v>
      </c>
      <c r="AU11" s="12">
        <f>AT11/0.5*20</f>
        <v>2712.4</v>
      </c>
      <c r="AV11" s="45" t="s">
        <v>81</v>
      </c>
      <c r="AW11" s="12"/>
      <c r="AX11" s="12"/>
      <c r="AY11" s="12"/>
      <c r="AZ11" s="12"/>
      <c r="BA11" s="16"/>
      <c r="BB11" s="16"/>
      <c r="BC11" s="16"/>
      <c r="BD11" s="16"/>
      <c r="BE11" s="19"/>
      <c r="BF11" s="19"/>
      <c r="BG11" s="16"/>
      <c r="BH11" s="19"/>
      <c r="BI11" s="16"/>
      <c r="BJ11" s="19"/>
      <c r="BK11" s="16"/>
      <c r="BL11" s="38"/>
      <c r="BM11" s="16"/>
      <c r="BN11" s="38"/>
      <c r="BO11" s="19"/>
      <c r="BP11" s="19"/>
      <c r="BQ11" s="16"/>
      <c r="BR11" s="19"/>
      <c r="BS11" s="16"/>
      <c r="BT11" s="19"/>
      <c r="BU11" s="16"/>
      <c r="BV11" s="38"/>
      <c r="BW11" s="16"/>
      <c r="BX11" s="38"/>
      <c r="BY11" s="20"/>
      <c r="BZ11" s="19"/>
      <c r="CA11" s="16"/>
      <c r="CB11" s="19"/>
      <c r="CC11" s="16"/>
      <c r="CD11" s="19"/>
      <c r="CE11" s="16"/>
      <c r="CF11" s="38"/>
      <c r="CG11" s="16"/>
      <c r="CH11" s="38"/>
      <c r="CI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46"/>
      <c r="DB11" s="16"/>
      <c r="DC11" s="46"/>
      <c r="DD11" s="45"/>
      <c r="DE11" s="2"/>
      <c r="DF11" s="2"/>
      <c r="DI11" s="1"/>
      <c r="DJ11" s="6"/>
      <c r="DK11" s="2"/>
      <c r="DM11" s="8"/>
      <c r="DO11" s="8"/>
      <c r="DP11" s="8"/>
      <c r="DQ11" s="8"/>
      <c r="DR11" s="8"/>
      <c r="DS11" s="8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5"/>
      <c r="EF11" s="1"/>
      <c r="EH11" s="1"/>
      <c r="EJ11" s="1"/>
      <c r="EK11" s="1"/>
      <c r="EL11" s="2"/>
      <c r="EM11" s="2"/>
      <c r="EO11" s="7"/>
      <c r="EQ11" s="7"/>
      <c r="ES11" s="7"/>
      <c r="EU11" s="7"/>
      <c r="EV11" s="7"/>
      <c r="EW11" s="7"/>
      <c r="EX11" s="7"/>
      <c r="EZ11" s="7"/>
      <c r="FB11" s="7"/>
      <c r="FD11" s="7"/>
      <c r="FF11" s="7"/>
      <c r="FG11" s="7"/>
      <c r="FH11" s="7"/>
      <c r="FI11" s="7"/>
      <c r="FK11" s="7"/>
      <c r="FM11" s="7"/>
      <c r="FO11" s="7"/>
      <c r="FQ11" s="7"/>
      <c r="FS11" s="7"/>
      <c r="FT11" s="7"/>
      <c r="FU11" s="7"/>
      <c r="FV11" s="7"/>
      <c r="FX11" s="7"/>
      <c r="FZ11" s="7"/>
      <c r="GB11" s="7"/>
      <c r="GD11" s="7"/>
      <c r="GF11" s="7"/>
      <c r="GG11" s="7"/>
      <c r="GH11" s="7"/>
      <c r="GI11" s="7"/>
      <c r="GK11" s="7"/>
      <c r="GM11" s="7"/>
      <c r="GO11" s="7"/>
      <c r="GQ11" s="7"/>
      <c r="GR11" s="2"/>
      <c r="GS11" s="2"/>
      <c r="GT11" s="2"/>
    </row>
    <row r="12" spans="1:205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>(L7+L8+L11)/3</f>
        <v>38.656666666666666</v>
      </c>
      <c r="M12" s="55">
        <f>(M7+M8+M11)/3</f>
        <v>40.130000000000003</v>
      </c>
      <c r="N12" s="275">
        <f t="shared" ref="N12:T12" si="1">(N7+N8+N11)/3</f>
        <v>39.086666666666666</v>
      </c>
      <c r="O12" s="275">
        <f>(O7+O8+O11)/3</f>
        <v>38.713333333333331</v>
      </c>
      <c r="P12" s="275">
        <f>(P7+P8+P11)/3</f>
        <v>38.703333333333326</v>
      </c>
      <c r="Q12" s="275">
        <f t="shared" si="1"/>
        <v>40.646666666666668</v>
      </c>
      <c r="R12" s="275">
        <f>(R7+R8+R11)/3</f>
        <v>40.013333333333335</v>
      </c>
      <c r="S12" s="55">
        <f t="shared" si="1"/>
        <v>40.4</v>
      </c>
      <c r="T12" s="275">
        <f t="shared" si="1"/>
        <v>39.543749999999996</v>
      </c>
      <c r="U12" s="55"/>
      <c r="V12" s="37"/>
      <c r="W12" s="37"/>
      <c r="X12" s="19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21"/>
      <c r="AJ12" s="21"/>
      <c r="AK12" s="20"/>
      <c r="AL12" s="137"/>
      <c r="AM12" s="69">
        <f>AM11/AL13</f>
        <v>0.47239999999999999</v>
      </c>
      <c r="AN12" s="31"/>
      <c r="AO12" s="69">
        <f>AO11/AN13</f>
        <v>0.68659999999999988</v>
      </c>
      <c r="AP12" s="31"/>
      <c r="AQ12" s="69">
        <f>AQ11/AP13</f>
        <v>0.82810000000000006</v>
      </c>
      <c r="AR12" s="31"/>
      <c r="AS12" s="69">
        <f>AS11/AR13</f>
        <v>0.65946666666666665</v>
      </c>
      <c r="AT12" s="31"/>
      <c r="AU12" s="69">
        <f>AU11/AT13</f>
        <v>0.67810000000000004</v>
      </c>
      <c r="AV12" s="2">
        <f>AVERAGE(AM12,AO12,AQ12,AS12,AU12)</f>
        <v>0.66493333333333338</v>
      </c>
      <c r="AW12" s="31"/>
      <c r="AX12" s="31"/>
      <c r="AY12" s="31"/>
      <c r="AZ12" s="31"/>
      <c r="BA12" s="21"/>
      <c r="BB12" s="21"/>
      <c r="BC12" s="21"/>
      <c r="BD12" s="21"/>
      <c r="BE12" s="20"/>
      <c r="BF12" s="66"/>
      <c r="BG12" s="66"/>
      <c r="BH12" s="66"/>
      <c r="BI12" s="66"/>
      <c r="BJ12" s="66"/>
      <c r="BK12" s="66"/>
      <c r="BL12" s="21"/>
      <c r="BM12" s="66"/>
      <c r="BN12" s="66"/>
      <c r="BO12" s="21"/>
      <c r="BP12" s="66"/>
      <c r="BQ12" s="66"/>
      <c r="BR12" s="66"/>
      <c r="BS12" s="66"/>
      <c r="BT12" s="66"/>
      <c r="BU12" s="66"/>
      <c r="BV12" s="21"/>
      <c r="BW12" s="66"/>
      <c r="BX12" s="66"/>
      <c r="BY12" s="16"/>
      <c r="BZ12" s="66"/>
      <c r="CA12" s="66"/>
      <c r="CB12" s="66"/>
      <c r="CC12" s="66"/>
      <c r="CD12" s="66"/>
      <c r="CE12" s="66"/>
      <c r="CF12" s="21"/>
      <c r="CG12" s="66"/>
      <c r="CH12" s="66"/>
      <c r="CI12" s="16"/>
      <c r="CN12" s="20"/>
      <c r="CO12" s="19"/>
      <c r="CP12" s="20"/>
      <c r="CQ12" s="16"/>
      <c r="CR12" s="20"/>
      <c r="CS12" s="16"/>
      <c r="CT12" s="20"/>
      <c r="CU12" s="16"/>
      <c r="CV12" s="20"/>
      <c r="CW12" s="19"/>
      <c r="CX12" s="20"/>
      <c r="CY12" s="16"/>
      <c r="CZ12" s="20"/>
      <c r="DA12" s="16"/>
      <c r="DB12" s="16"/>
      <c r="DC12" s="16"/>
      <c r="DD12" s="16"/>
      <c r="DJ12" s="6"/>
      <c r="DK12" s="2"/>
      <c r="DM12" s="8"/>
      <c r="DO12" s="8"/>
      <c r="DP12" s="8"/>
      <c r="DQ12" s="8"/>
      <c r="DR12" s="8"/>
      <c r="DS12" s="8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Q12" s="5"/>
      <c r="FA12" s="2"/>
    </row>
    <row r="13" spans="1:205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>
        <v>40</v>
      </c>
      <c r="T13" s="55">
        <v>40</v>
      </c>
      <c r="U13" s="55"/>
      <c r="V13" s="37"/>
      <c r="W13" s="37"/>
      <c r="X13" s="19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22"/>
      <c r="AJ13" s="22"/>
      <c r="AK13" s="44"/>
      <c r="AL13" s="32">
        <v>500</v>
      </c>
      <c r="AM13" s="59"/>
      <c r="AN13" s="59">
        <v>1000</v>
      </c>
      <c r="AO13" s="59"/>
      <c r="AP13" s="59">
        <v>2000</v>
      </c>
      <c r="AQ13" s="59"/>
      <c r="AR13" s="59">
        <v>3000</v>
      </c>
      <c r="AS13" s="59"/>
      <c r="AT13" s="59">
        <v>4000</v>
      </c>
      <c r="AU13" s="32"/>
      <c r="AV13" s="22"/>
      <c r="AW13" s="32"/>
      <c r="AX13" s="32"/>
      <c r="AY13" s="32"/>
      <c r="AZ13" s="32"/>
      <c r="BA13" s="22"/>
      <c r="BB13" s="22"/>
      <c r="BC13" s="22"/>
      <c r="BD13" s="22"/>
      <c r="BE13" s="44"/>
      <c r="BF13" s="67"/>
      <c r="BG13" s="67"/>
      <c r="BH13" s="67"/>
      <c r="BI13" s="67"/>
      <c r="BJ13" s="67"/>
      <c r="BK13" s="67"/>
      <c r="BL13" s="22"/>
      <c r="BM13" s="67"/>
      <c r="BN13" s="67"/>
      <c r="BO13" s="22"/>
      <c r="BP13" s="67"/>
      <c r="BQ13" s="67"/>
      <c r="BR13" s="67"/>
      <c r="BS13" s="67"/>
      <c r="BT13" s="67"/>
      <c r="BU13" s="67"/>
      <c r="BV13" s="22"/>
      <c r="BW13" s="67"/>
      <c r="BX13" s="67"/>
      <c r="BY13" s="19"/>
      <c r="BZ13" s="67"/>
      <c r="CA13" s="67"/>
      <c r="CB13" s="67"/>
      <c r="CC13" s="67"/>
      <c r="CD13" s="67"/>
      <c r="CE13" s="67"/>
      <c r="CF13" s="22"/>
      <c r="CG13" s="67"/>
      <c r="CH13" s="67"/>
      <c r="CI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6"/>
      <c r="CZ13" s="44"/>
      <c r="DA13" s="19"/>
      <c r="DB13" s="19"/>
      <c r="DC13" s="19"/>
      <c r="DD13" s="19"/>
      <c r="DE13" s="1"/>
      <c r="DF13" s="1"/>
      <c r="DJ13" s="6"/>
      <c r="DK13" s="2"/>
      <c r="DM13" s="8"/>
      <c r="DO13" s="8"/>
      <c r="DP13" s="8"/>
      <c r="DQ13" s="8"/>
      <c r="DR13" s="8"/>
      <c r="DS13" s="8"/>
      <c r="DT13" s="14"/>
      <c r="DU13" s="15"/>
      <c r="DV13" s="15"/>
      <c r="DW13" s="15"/>
      <c r="DX13" s="15"/>
      <c r="DY13" s="15"/>
      <c r="DZ13" s="15"/>
      <c r="EA13" s="15"/>
      <c r="EB13" s="14"/>
      <c r="EC13" s="14"/>
      <c r="ED13" s="14"/>
      <c r="EG13" s="2"/>
      <c r="EY13" s="2"/>
    </row>
    <row r="14" spans="1:205" ht="15.75" x14ac:dyDescent="0.25">
      <c r="A14" t="s">
        <v>11</v>
      </c>
      <c r="B14" s="98">
        <f>ABS(B11-B13)/B13</f>
        <v>0.30724999999999997</v>
      </c>
      <c r="C14" s="33"/>
      <c r="D14" s="98">
        <f>ABS(D11-D13)/D13</f>
        <v>0.29749999999999999</v>
      </c>
      <c r="E14" s="34"/>
      <c r="F14" s="30">
        <f>ABS(F11-F13)/F13</f>
        <v>0.16999999999999993</v>
      </c>
      <c r="G14" s="34"/>
      <c r="H14" s="34"/>
      <c r="I14" s="34"/>
      <c r="J14" s="34"/>
      <c r="K14" s="38"/>
      <c r="L14" s="30">
        <f t="shared" ref="L14:T14" si="2">(L12-L13)/L13</f>
        <v>-3.358333333333334E-2</v>
      </c>
      <c r="M14" s="30">
        <f t="shared" si="2"/>
        <v>3.250000000000064E-3</v>
      </c>
      <c r="N14" s="30">
        <f t="shared" si="2"/>
        <v>-2.2833333333333351E-2</v>
      </c>
      <c r="O14" s="30">
        <f>(O12-O13)/O13</f>
        <v>-3.2166666666666718E-2</v>
      </c>
      <c r="P14" s="30">
        <f t="shared" si="2"/>
        <v>-3.241666666666685E-2</v>
      </c>
      <c r="Q14" s="30">
        <f t="shared" si="2"/>
        <v>1.6166666666666708E-2</v>
      </c>
      <c r="R14" s="30">
        <f>(R12-R13)/R13</f>
        <v>3.3333333333338542E-4</v>
      </c>
      <c r="S14" s="30">
        <f t="shared" si="2"/>
        <v>9.9999999999999638E-3</v>
      </c>
      <c r="T14" s="30">
        <f t="shared" si="2"/>
        <v>-1.1406250000000107E-2</v>
      </c>
      <c r="U14" s="56"/>
      <c r="V14" s="19"/>
      <c r="W14" s="19"/>
      <c r="X14" s="19"/>
      <c r="Y14" s="49"/>
      <c r="Z14" s="23"/>
      <c r="AA14" s="49"/>
      <c r="AB14" s="38"/>
      <c r="AC14" s="49"/>
      <c r="AD14" s="38"/>
      <c r="AE14" s="38"/>
      <c r="AF14" s="38"/>
      <c r="AG14" s="38"/>
      <c r="AH14" s="38"/>
      <c r="AI14" s="38"/>
      <c r="AJ14" s="38"/>
      <c r="AK14" s="16"/>
      <c r="AL14" s="72">
        <f>ABS(AM11-AL13)/AL13</f>
        <v>0.52760000000000007</v>
      </c>
      <c r="AM14" s="61"/>
      <c r="AN14" s="72">
        <f>ABS(AO11-AN13)/AN13</f>
        <v>0.31340000000000007</v>
      </c>
      <c r="AO14" s="62"/>
      <c r="AP14" s="72">
        <f>ABS(AQ11-AP13)/AP13</f>
        <v>0.17189999999999997</v>
      </c>
      <c r="AQ14" s="62"/>
      <c r="AR14" s="72">
        <f>ABS(AS11-AR13)/AR13</f>
        <v>0.3405333333333333</v>
      </c>
      <c r="AS14" s="62"/>
      <c r="AT14" s="72">
        <f>ABS(AU11-AT13)/AT13</f>
        <v>0.32189999999999996</v>
      </c>
      <c r="AU14" s="16"/>
      <c r="AV14" s="45"/>
      <c r="AW14" s="38"/>
      <c r="AX14" s="36"/>
      <c r="AY14" s="38"/>
      <c r="AZ14" s="36"/>
      <c r="BA14" s="38"/>
      <c r="BB14" s="38"/>
      <c r="BC14" s="38"/>
      <c r="BD14" s="38"/>
      <c r="BE14" s="16"/>
      <c r="BF14" s="23"/>
      <c r="BG14" s="23"/>
      <c r="BH14" s="38"/>
      <c r="BI14" s="38"/>
      <c r="BJ14" s="38"/>
      <c r="BK14" s="38"/>
      <c r="BL14" s="38"/>
      <c r="BM14" s="38"/>
      <c r="BN14" s="38"/>
      <c r="BO14" s="20"/>
      <c r="BP14" s="23"/>
      <c r="BQ14" s="23"/>
      <c r="BR14" s="23"/>
      <c r="BS14" s="38"/>
      <c r="BT14" s="23"/>
      <c r="BU14" s="38"/>
      <c r="BV14" s="38"/>
      <c r="BW14" s="38"/>
      <c r="BX14" s="38"/>
      <c r="BY14" s="16"/>
      <c r="BZ14" s="38"/>
      <c r="CA14" s="23"/>
      <c r="CB14" s="38"/>
      <c r="CC14" s="38"/>
      <c r="CD14" s="38"/>
      <c r="CE14" s="38"/>
      <c r="CF14" s="38"/>
      <c r="CG14" s="38"/>
      <c r="CH14" s="38"/>
      <c r="CI14" s="16"/>
      <c r="CN14" s="19"/>
      <c r="CO14" s="19"/>
      <c r="CP14" s="19"/>
      <c r="CQ14" s="19"/>
      <c r="CR14" s="19"/>
      <c r="CS14" s="19"/>
      <c r="CT14" s="19"/>
      <c r="CU14" s="16"/>
      <c r="CV14" s="16"/>
      <c r="CW14" s="16"/>
      <c r="CX14" s="47"/>
      <c r="CY14" s="16"/>
      <c r="CZ14" s="16"/>
      <c r="DA14" s="16"/>
      <c r="DB14" s="16"/>
      <c r="DC14" s="16"/>
      <c r="DD14" s="16"/>
      <c r="DJ14" s="6"/>
      <c r="DK14" s="2"/>
      <c r="DM14" s="8"/>
      <c r="DO14" s="8"/>
      <c r="DP14" s="8"/>
      <c r="DQ14" s="8"/>
      <c r="DR14" s="8"/>
      <c r="DS14" s="8"/>
      <c r="DT14" s="14"/>
      <c r="DU14" s="42"/>
      <c r="DV14" s="42"/>
      <c r="DW14" s="42"/>
      <c r="DX14" s="42"/>
      <c r="DY14" s="42"/>
      <c r="DZ14" s="42"/>
      <c r="EA14" s="42"/>
      <c r="EB14" s="15"/>
      <c r="EC14" s="14"/>
      <c r="ED14" s="14"/>
    </row>
    <row r="15" spans="1:205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W15" s="35"/>
      <c r="X15" s="68" t="s">
        <v>79</v>
      </c>
      <c r="Y15" s="30">
        <f>AVERAGE(Z8,Z19)</f>
        <v>0.76921043111835397</v>
      </c>
      <c r="Z15" s="71"/>
      <c r="AA15" s="30">
        <f>AVERAGE(AB8,AB19)</f>
        <v>0.94154748220859608</v>
      </c>
      <c r="AB15" s="71"/>
      <c r="AC15" s="30">
        <f>AVERAGE(AD8,AD19)</f>
        <v>0.87289357512930088</v>
      </c>
      <c r="AD15" s="71"/>
      <c r="AE15" s="30">
        <f>AVERAGE(AF8,AF19)</f>
        <v>0.89000115233665955</v>
      </c>
      <c r="AF15" s="71"/>
      <c r="AG15" s="30">
        <f>AVERAGE(AH8,AH19)</f>
        <v>0.95003750711383328</v>
      </c>
      <c r="AH15" s="16"/>
      <c r="AI15" s="16"/>
      <c r="AJ15" s="16"/>
      <c r="AK15" s="142" t="s">
        <v>129</v>
      </c>
      <c r="AL15" s="103">
        <f>AVERAGE(AM11,AM22)</f>
        <v>156.6</v>
      </c>
      <c r="AM15" s="71"/>
      <c r="AN15" s="103">
        <f>AVERAGE(AO11,AO22)</f>
        <v>499.59999999999991</v>
      </c>
      <c r="AO15" s="71"/>
      <c r="AP15" s="103">
        <f>AVERAGE(AQ22,AQ11)</f>
        <v>1059.0999999999999</v>
      </c>
      <c r="AQ15" s="71"/>
      <c r="AR15" s="103">
        <f>AVERAGE(AS11,AS22)</f>
        <v>1347.3000000000002</v>
      </c>
      <c r="AS15" s="71"/>
      <c r="AT15" s="103">
        <f>AVERAGE(AU11,AU22)</f>
        <v>2080.3999999999996</v>
      </c>
      <c r="AU15" s="16"/>
      <c r="AV15" s="16"/>
      <c r="AW15" s="16"/>
      <c r="AX15" s="16"/>
      <c r="AY15" s="16"/>
      <c r="AZ15" s="20"/>
      <c r="BA15" s="16"/>
      <c r="BB15" s="16"/>
      <c r="BC15" s="16"/>
      <c r="BD15" s="16"/>
      <c r="BE15" s="16"/>
      <c r="BF15" s="16"/>
      <c r="BG15" s="16"/>
      <c r="BH15" s="19"/>
      <c r="BI15" s="19"/>
      <c r="BJ15" s="19"/>
      <c r="BK15" s="19"/>
      <c r="BL15" s="19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20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J15" s="6"/>
      <c r="DK15" s="2"/>
      <c r="DM15" s="8"/>
      <c r="DO15" s="8"/>
      <c r="DP15" s="8"/>
      <c r="DQ15" s="8"/>
      <c r="DR15" s="8"/>
      <c r="DS15" s="8"/>
      <c r="DT15" s="14"/>
      <c r="DU15" s="42"/>
      <c r="DV15" s="42"/>
      <c r="DW15" s="42"/>
      <c r="DX15" s="42"/>
      <c r="DY15" s="42"/>
      <c r="DZ15" s="42"/>
      <c r="EA15" s="42"/>
      <c r="EB15" s="14"/>
      <c r="EC15" s="14"/>
      <c r="ED15" s="14"/>
    </row>
    <row r="16" spans="1:205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6"/>
      <c r="M16" s="36"/>
      <c r="N16" s="36"/>
      <c r="O16" s="36"/>
      <c r="P16" s="36"/>
      <c r="Q16" s="36"/>
      <c r="R16" s="36"/>
      <c r="S16" s="1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9"/>
      <c r="BI16" s="19"/>
      <c r="BJ16" s="19"/>
      <c r="BK16" s="19"/>
      <c r="BL16" s="19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J16" s="6"/>
      <c r="DK16" s="2"/>
      <c r="DM16" s="8"/>
      <c r="DO16" s="8"/>
      <c r="DP16" s="8"/>
      <c r="DQ16" s="8"/>
      <c r="DR16" s="8"/>
      <c r="DS16" s="8"/>
      <c r="DT16" s="14"/>
      <c r="DU16" s="42"/>
      <c r="DV16" s="42"/>
      <c r="DW16" s="42"/>
      <c r="DX16" s="42"/>
      <c r="DY16" s="42"/>
      <c r="DZ16" s="42"/>
      <c r="EA16" s="42"/>
      <c r="EB16" s="14"/>
      <c r="EC16" s="14"/>
      <c r="ED16" s="14"/>
    </row>
    <row r="17" spans="1:134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35"/>
      <c r="M17" s="57"/>
      <c r="N17" s="57"/>
      <c r="O17" s="57"/>
      <c r="P17" s="57"/>
      <c r="Q17" s="57"/>
      <c r="R17" s="57"/>
      <c r="S17" s="17"/>
      <c r="T17" s="18"/>
      <c r="U17" s="17"/>
      <c r="V17" s="17"/>
      <c r="W17" s="17"/>
      <c r="X17" s="18"/>
      <c r="Y17" s="24" t="s">
        <v>143</v>
      </c>
      <c r="Z17" s="25" t="s">
        <v>16</v>
      </c>
      <c r="AA17" s="26" t="s">
        <v>61</v>
      </c>
      <c r="AB17" s="25" t="s">
        <v>16</v>
      </c>
      <c r="AC17" s="26" t="s">
        <v>145</v>
      </c>
      <c r="AD17" s="25" t="s">
        <v>16</v>
      </c>
      <c r="AE17" s="26" t="s">
        <v>62</v>
      </c>
      <c r="AF17" s="25" t="s">
        <v>16</v>
      </c>
      <c r="AG17" s="26" t="s">
        <v>63</v>
      </c>
      <c r="AH17" s="25" t="s">
        <v>16</v>
      </c>
      <c r="AI17" s="17"/>
      <c r="AJ17" s="17"/>
      <c r="AK17" s="18"/>
      <c r="AL17" s="24" t="s">
        <v>140</v>
      </c>
      <c r="AM17" s="25" t="s">
        <v>16</v>
      </c>
      <c r="AN17" s="26" t="s">
        <v>66</v>
      </c>
      <c r="AO17" s="25" t="s">
        <v>16</v>
      </c>
      <c r="AP17" s="26" t="s">
        <v>141</v>
      </c>
      <c r="AQ17" s="25" t="s">
        <v>16</v>
      </c>
      <c r="AR17" s="26" t="s">
        <v>67</v>
      </c>
      <c r="AS17" s="25" t="s">
        <v>16</v>
      </c>
      <c r="AT17" s="26" t="s">
        <v>68</v>
      </c>
      <c r="AU17" s="25" t="s">
        <v>16</v>
      </c>
      <c r="AV17" s="17"/>
      <c r="AW17" s="18"/>
      <c r="AX17" s="60"/>
      <c r="AY17" s="18"/>
      <c r="AZ17" s="60"/>
      <c r="BA17" s="18"/>
      <c r="BB17" s="17"/>
      <c r="BC17" s="17"/>
      <c r="BD17" s="17"/>
      <c r="BE17" s="18"/>
      <c r="BF17" s="63"/>
      <c r="BG17" s="18"/>
      <c r="BH17" s="64"/>
      <c r="BI17" s="18"/>
      <c r="BJ17" s="64"/>
      <c r="BK17" s="18"/>
      <c r="BL17" s="17"/>
      <c r="BM17" s="63"/>
      <c r="BN17" s="63"/>
      <c r="BO17" s="17"/>
      <c r="BP17" s="65"/>
      <c r="BQ17" s="18"/>
      <c r="BR17" s="64"/>
      <c r="BS17" s="18"/>
      <c r="BT17" s="64"/>
      <c r="BU17" s="18"/>
      <c r="BV17" s="17"/>
      <c r="BW17" s="63"/>
      <c r="BX17" s="63"/>
      <c r="BY17" s="16"/>
      <c r="BZ17" s="65"/>
      <c r="CA17" s="18"/>
      <c r="CB17" s="64"/>
      <c r="CC17" s="18"/>
      <c r="CD17" s="64"/>
      <c r="CE17" s="18"/>
      <c r="CF17" s="17"/>
      <c r="CG17" s="63"/>
      <c r="CH17" s="63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J17" s="6"/>
      <c r="DK17" s="2"/>
      <c r="DM17" s="8"/>
      <c r="DO17" s="8"/>
      <c r="DP17" s="8"/>
      <c r="DQ17" s="8"/>
      <c r="DR17" s="8"/>
      <c r="DS17" s="8"/>
      <c r="DT17" s="14"/>
      <c r="DU17" s="42"/>
      <c r="DV17" s="42"/>
      <c r="DW17" s="42"/>
      <c r="DX17" s="42"/>
      <c r="DY17" s="42"/>
      <c r="DZ17" s="42"/>
      <c r="EA17" s="42"/>
      <c r="EB17" s="14"/>
      <c r="EC17" s="14"/>
      <c r="ED17" s="14"/>
    </row>
    <row r="18" spans="1:134" x14ac:dyDescent="0.25">
      <c r="B18" s="12">
        <v>1.9</v>
      </c>
      <c r="C18" s="29">
        <f>B18/AVERAGE($S7,$Q7)</f>
        <v>4.5766590389016017E-2</v>
      </c>
      <c r="D18" s="12">
        <v>1.84</v>
      </c>
      <c r="E18" s="29">
        <f>D18/AVERAGE($S7,$Q7)</f>
        <v>4.4321329639889197E-2</v>
      </c>
      <c r="F18" s="12">
        <v>2.0099999999999998</v>
      </c>
      <c r="G18" s="29">
        <f>F18/AVERAGE($S7,$Q7)</f>
        <v>4.8416235095748522E-2</v>
      </c>
      <c r="H18" s="33"/>
      <c r="I18" s="274">
        <f>AVERAGE(F18,D18,B18)</f>
        <v>1.9166666666666667</v>
      </c>
      <c r="J18" s="30">
        <f>STDEV(D18,F18)/I18</f>
        <v>6.2717297113937143E-2</v>
      </c>
      <c r="K18" s="1"/>
      <c r="L18" s="35"/>
      <c r="M18" s="35"/>
      <c r="N18" s="35"/>
      <c r="O18" s="35"/>
      <c r="P18" s="58"/>
      <c r="Q18" s="58"/>
      <c r="R18" s="58"/>
      <c r="S18" s="1"/>
      <c r="U18" s="38"/>
      <c r="V18" s="38"/>
      <c r="W18" s="38"/>
      <c r="X18" s="16"/>
      <c r="Y18" s="12">
        <v>1.75</v>
      </c>
      <c r="Z18" s="29">
        <f>Y18/AVERAGE($S7,$Q7)</f>
        <v>4.2153438516198967E-2</v>
      </c>
      <c r="AA18" s="12">
        <v>1.8</v>
      </c>
      <c r="AB18" s="29">
        <f>AA18/AVERAGE($S7,$Q7)</f>
        <v>4.3357822473804652E-2</v>
      </c>
      <c r="AC18" s="12">
        <v>1.84</v>
      </c>
      <c r="AD18" s="29">
        <f>AC18/AVERAGE($S7,$Q7)</f>
        <v>4.4321329639889197E-2</v>
      </c>
      <c r="AE18" s="12">
        <v>1.87</v>
      </c>
      <c r="AF18" s="29">
        <f>AE18/AVERAGE($S7,$Q7)</f>
        <v>4.5043960014452607E-2</v>
      </c>
      <c r="AG18" s="12">
        <v>2.0099999999999998</v>
      </c>
      <c r="AH18" s="29">
        <f>AG7/AVERAGE($S7,$Q7)</f>
        <v>5.0102372636396483E-2</v>
      </c>
      <c r="AI18" s="16"/>
      <c r="AJ18" s="38"/>
      <c r="AK18" s="20"/>
      <c r="AL18" s="12" t="s">
        <v>159</v>
      </c>
      <c r="AM18" s="29" t="e">
        <f>AL18*10/AVERAGE($L$7,$M$7)</f>
        <v>#VALUE!</v>
      </c>
      <c r="AN18" s="12" t="s">
        <v>158</v>
      </c>
      <c r="AO18" s="29" t="e">
        <f>AN18*10/AVERAGE($L$7,$M$7)</f>
        <v>#VALUE!</v>
      </c>
      <c r="AP18" s="12" t="s">
        <v>158</v>
      </c>
      <c r="AQ18" s="29" t="e">
        <f>AP18*10/AVERAGE($L$7,$M$7)</f>
        <v>#VALUE!</v>
      </c>
      <c r="AR18" s="12" t="s">
        <v>158</v>
      </c>
      <c r="AS18" s="29" t="e">
        <f>AR18*10/AVERAGE($L$7,$M$7)</f>
        <v>#VALUE!</v>
      </c>
      <c r="AT18" s="12" t="s">
        <v>159</v>
      </c>
      <c r="AU18" s="29" t="e">
        <f>AT18*10/AVERAGE($L$7,$M$7)</f>
        <v>#VALUE!</v>
      </c>
      <c r="AV18" s="43"/>
      <c r="AW18" s="23"/>
      <c r="AX18" s="16"/>
      <c r="AY18" s="23"/>
      <c r="AZ18" s="16"/>
      <c r="BA18" s="23"/>
      <c r="BB18" s="23"/>
      <c r="BC18" s="16"/>
      <c r="BD18" s="38"/>
      <c r="BE18" s="20"/>
      <c r="BF18" s="43"/>
      <c r="BG18" s="23"/>
      <c r="BH18" s="16"/>
      <c r="BI18" s="23"/>
      <c r="BJ18" s="16"/>
      <c r="BK18" s="23"/>
      <c r="BL18" s="23"/>
      <c r="BM18" s="16"/>
      <c r="BN18" s="38"/>
      <c r="BO18" s="16"/>
      <c r="BP18" s="43"/>
      <c r="BQ18" s="23"/>
      <c r="BR18" s="16"/>
      <c r="BS18" s="23"/>
      <c r="BT18" s="16"/>
      <c r="BU18" s="23"/>
      <c r="BV18" s="23"/>
      <c r="BW18" s="16"/>
      <c r="BX18" s="38"/>
      <c r="BY18" s="20"/>
      <c r="BZ18" s="43"/>
      <c r="CA18" s="23"/>
      <c r="CB18" s="16"/>
      <c r="CC18" s="23"/>
      <c r="CD18" s="16"/>
      <c r="CE18" s="23"/>
      <c r="CF18" s="23"/>
      <c r="CG18" s="16"/>
      <c r="CH18" s="38"/>
      <c r="CS18" s="2"/>
      <c r="DJ18" s="6"/>
      <c r="DK18" s="2"/>
      <c r="DM18" s="8"/>
      <c r="DO18" s="8"/>
      <c r="DP18" s="8"/>
      <c r="DQ18" s="8"/>
      <c r="DR18" s="8"/>
      <c r="DS18" s="8"/>
      <c r="DT18" s="14"/>
      <c r="DU18" s="42"/>
      <c r="DV18" s="42"/>
      <c r="DW18" s="42"/>
      <c r="DX18" s="42"/>
      <c r="DY18" s="42"/>
      <c r="DZ18" s="42"/>
      <c r="EA18" s="42"/>
      <c r="EB18" s="14"/>
      <c r="EC18" s="14"/>
      <c r="ED18" s="14"/>
    </row>
    <row r="19" spans="1:134" x14ac:dyDescent="0.25">
      <c r="B19" s="12">
        <v>38.54</v>
      </c>
      <c r="C19" s="30">
        <f>B19/AVERAGE($S8,$Q8)</f>
        <v>0.96615693156179494</v>
      </c>
      <c r="D19" s="12">
        <v>34.1</v>
      </c>
      <c r="E19" s="30">
        <f>D19/AVERAGE($S8,$Q8)</f>
        <v>0.85485083980947607</v>
      </c>
      <c r="F19" s="12">
        <v>28.36</v>
      </c>
      <c r="G19" s="30">
        <f>F19/AVERAGE($S8,$Q8)</f>
        <v>0.71095512659814486</v>
      </c>
      <c r="H19" s="34"/>
      <c r="I19" s="274">
        <f>AVERAGE(F19,D19,B19)</f>
        <v>33.666666666666664</v>
      </c>
      <c r="J19" s="30">
        <f>STDEV(D19,F19)/I19</f>
        <v>0.12055820566368666</v>
      </c>
      <c r="K19" s="11"/>
      <c r="L19" s="35"/>
      <c r="M19" s="35"/>
      <c r="N19" s="35"/>
      <c r="O19" s="35"/>
      <c r="P19" s="58"/>
      <c r="Q19" s="58"/>
      <c r="R19" s="58"/>
      <c r="U19" s="38"/>
      <c r="V19" s="38"/>
      <c r="W19" s="38"/>
      <c r="X19" s="16"/>
      <c r="Y19" s="12">
        <v>26.34</v>
      </c>
      <c r="Z19" s="29">
        <f>Y19/AVERAGE($S8,$Q8)</f>
        <v>0.66031586863875658</v>
      </c>
      <c r="AA19" s="12">
        <v>36.81</v>
      </c>
      <c r="AB19" s="30">
        <f>AA19/AVERAGE($S8,$Q8)</f>
        <v>0.9227876660817248</v>
      </c>
      <c r="AC19" s="12">
        <v>32.15</v>
      </c>
      <c r="AD19" s="30">
        <f>AC19/AVERAGE($S8,$Q8)</f>
        <v>0.80596640762095761</v>
      </c>
      <c r="AE19" s="12">
        <v>32.81</v>
      </c>
      <c r="AF19" s="30">
        <f>AE19/AVERAGE($S8,$Q8)</f>
        <v>0.82251190774630234</v>
      </c>
      <c r="AG19" s="12">
        <v>33.340000000000003</v>
      </c>
      <c r="AH19" s="30">
        <f>AG19/AVERAGE($S8,$Q8)</f>
        <v>0.83579844572574591</v>
      </c>
      <c r="AI19" s="16"/>
      <c r="AJ19" s="23"/>
      <c r="AK19" s="20"/>
      <c r="AL19" s="12" t="s">
        <v>159</v>
      </c>
      <c r="AM19" s="30" t="e">
        <f>AL19*10/AVERAGE($L$8,$M$8)</f>
        <v>#VALUE!</v>
      </c>
      <c r="AN19" s="12" t="s">
        <v>158</v>
      </c>
      <c r="AO19" s="30" t="e">
        <f>AN19*10/AVERAGE($L$8,$M$8)</f>
        <v>#VALUE!</v>
      </c>
      <c r="AP19" s="12" t="s">
        <v>158</v>
      </c>
      <c r="AQ19" s="30" t="e">
        <f>AP19*10/AVERAGE($L$8,$M$8)</f>
        <v>#VALUE!</v>
      </c>
      <c r="AR19" s="12" t="s">
        <v>158</v>
      </c>
      <c r="AS19" s="30" t="e">
        <f>AR19*10/AVERAGE($L$8,$M$8)</f>
        <v>#VALUE!</v>
      </c>
      <c r="AT19" s="12" t="s">
        <v>159</v>
      </c>
      <c r="AU19" s="30" t="e">
        <f>AT19*20/AVERAGE($L$8,$M$8)</f>
        <v>#VALUE!</v>
      </c>
      <c r="AV19" s="43"/>
      <c r="AW19" s="38"/>
      <c r="AX19" s="16"/>
      <c r="AY19" s="38"/>
      <c r="AZ19" s="16"/>
      <c r="BA19" s="38"/>
      <c r="BB19" s="38"/>
      <c r="BC19" s="16"/>
      <c r="BD19" s="38"/>
      <c r="BE19" s="20"/>
      <c r="BF19" s="43"/>
      <c r="BG19" s="38"/>
      <c r="BH19" s="16"/>
      <c r="BI19" s="38"/>
      <c r="BJ19" s="16"/>
      <c r="BK19" s="38"/>
      <c r="BL19" s="38"/>
      <c r="BM19" s="16"/>
      <c r="BN19" s="38"/>
      <c r="BO19" s="16"/>
      <c r="BP19" s="43"/>
      <c r="BQ19" s="23"/>
      <c r="BR19" s="16"/>
      <c r="BS19" s="23"/>
      <c r="BT19" s="16"/>
      <c r="BU19" s="23"/>
      <c r="BV19" s="38"/>
      <c r="BW19" s="16"/>
      <c r="BX19" s="38"/>
      <c r="BY19" s="20"/>
      <c r="BZ19" s="43"/>
      <c r="CA19" s="23"/>
      <c r="CB19" s="16"/>
      <c r="CC19" s="23"/>
      <c r="CD19" s="16"/>
      <c r="CE19" s="23"/>
      <c r="CF19" s="38"/>
      <c r="CG19" s="16"/>
      <c r="CH19" s="38"/>
      <c r="DH19" s="10"/>
      <c r="DI19" s="10"/>
      <c r="DJ19" s="10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</row>
    <row r="20" spans="1:134" x14ac:dyDescent="0.25">
      <c r="A20" t="s">
        <v>0</v>
      </c>
      <c r="B20" s="12">
        <v>12.35</v>
      </c>
      <c r="C20" s="30">
        <f>B20/AVERAGE($S9,$Q9)</f>
        <v>0.92927012791572616</v>
      </c>
      <c r="D20" s="12">
        <v>11.55</v>
      </c>
      <c r="E20" s="30">
        <f>D20/AVERAGE($S9,$Q9)</f>
        <v>0.86907449209932286</v>
      </c>
      <c r="F20" s="12">
        <v>9.92</v>
      </c>
      <c r="G20" s="30">
        <f>F20/AVERAGE($S9,$Q9)</f>
        <v>0.74642588412340105</v>
      </c>
      <c r="H20" s="34"/>
      <c r="I20" s="274">
        <f>AVERAGE(F20,D20,B20)</f>
        <v>11.273333333333333</v>
      </c>
      <c r="J20" s="30">
        <f>STDEV(D20,F20)/I20</f>
        <v>0.10223986280314071</v>
      </c>
      <c r="L20" s="35"/>
      <c r="M20" s="35"/>
      <c r="N20" s="35"/>
      <c r="O20" s="35"/>
      <c r="P20" s="58"/>
      <c r="Q20" s="58"/>
      <c r="R20" s="58"/>
      <c r="U20" s="38"/>
      <c r="V20" s="38"/>
      <c r="W20" s="38"/>
      <c r="X20" s="16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45"/>
      <c r="AK20" s="43"/>
      <c r="AL20" s="12">
        <v>2.94</v>
      </c>
      <c r="AM20" s="12">
        <f>AL20/0.5*10</f>
        <v>58.8</v>
      </c>
      <c r="AN20" s="12">
        <v>10.92</v>
      </c>
      <c r="AO20" s="12">
        <f>AN20/0.5*10</f>
        <v>218.4</v>
      </c>
      <c r="AP20" s="12">
        <v>16.100000000000001</v>
      </c>
      <c r="AQ20" s="12">
        <f>AP20/0.5*10</f>
        <v>322</v>
      </c>
      <c r="AR20" s="12">
        <v>25.19</v>
      </c>
      <c r="AS20" s="12">
        <f>AR20/0.5*10</f>
        <v>503.8</v>
      </c>
      <c r="AT20" s="12">
        <v>18.739999999999998</v>
      </c>
      <c r="AU20" s="12">
        <f>AT20/0.5*20</f>
        <v>749.59999999999991</v>
      </c>
      <c r="AV20" s="45"/>
      <c r="AW20" s="45"/>
      <c r="AX20" s="45"/>
      <c r="AY20" s="45"/>
      <c r="AZ20" s="45"/>
      <c r="BA20" s="45"/>
      <c r="BB20" s="45"/>
      <c r="BC20" s="16"/>
      <c r="BD20" s="45"/>
      <c r="BE20" s="19"/>
      <c r="BF20" s="43"/>
      <c r="BG20" s="16"/>
      <c r="BH20" s="16"/>
      <c r="BI20" s="16"/>
      <c r="BJ20" s="16"/>
      <c r="BK20" s="16"/>
      <c r="BL20" s="38"/>
      <c r="BM20" s="16"/>
      <c r="BN20" s="38"/>
      <c r="BO20" s="16"/>
      <c r="BP20" s="43"/>
      <c r="BQ20" s="16"/>
      <c r="BR20" s="16"/>
      <c r="BS20" s="16"/>
      <c r="BT20" s="16"/>
      <c r="BU20" s="16"/>
      <c r="BV20" s="38"/>
      <c r="BW20" s="16"/>
      <c r="BX20" s="38"/>
      <c r="BY20" s="20"/>
      <c r="BZ20" s="43"/>
      <c r="CA20" s="16"/>
      <c r="CB20" s="16"/>
      <c r="CC20" s="16"/>
      <c r="CD20" s="16"/>
      <c r="CE20" s="16"/>
      <c r="CF20" s="38"/>
      <c r="CG20" s="16"/>
      <c r="CH20" s="38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</row>
    <row r="21" spans="1:134" x14ac:dyDescent="0.25">
      <c r="B21" s="12">
        <v>16.91</v>
      </c>
      <c r="C21" s="30">
        <f>B21/AVERAGE($S10,$Q10)</f>
        <v>0.62920930232558137</v>
      </c>
      <c r="D21" s="12">
        <v>18.32</v>
      </c>
      <c r="E21" s="30">
        <f>D21/AVERAGE($S10,$Q10)</f>
        <v>0.68167441860465117</v>
      </c>
      <c r="F21" s="12">
        <v>18.14</v>
      </c>
      <c r="G21" s="30">
        <f>F21/AVERAGE($S10,$Q10)</f>
        <v>0.67497674418604658</v>
      </c>
      <c r="H21" s="34"/>
      <c r="I21" s="12">
        <f>AVERAGE(F21,D21,B21)</f>
        <v>17.790000000000003</v>
      </c>
      <c r="J21" s="30">
        <f>STDEV(D21,F21)/I21</f>
        <v>7.1545374150409407E-3</v>
      </c>
      <c r="L21" s="35"/>
      <c r="M21" s="35"/>
      <c r="N21" s="35"/>
      <c r="O21" s="35"/>
      <c r="P21" s="58"/>
      <c r="Q21" s="58"/>
      <c r="R21" s="58"/>
      <c r="U21" s="38"/>
      <c r="V21" s="38"/>
      <c r="W21" s="38"/>
      <c r="X21" s="16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6"/>
      <c r="AJ21" s="45"/>
      <c r="AK21" s="43"/>
      <c r="AL21" s="12">
        <v>0.91</v>
      </c>
      <c r="AM21" s="12">
        <f>AL21/0.5*10</f>
        <v>18.2</v>
      </c>
      <c r="AN21" s="12">
        <v>4.71</v>
      </c>
      <c r="AO21" s="12">
        <f>AN21/0.5*10</f>
        <v>94.2</v>
      </c>
      <c r="AP21" s="12">
        <v>7</v>
      </c>
      <c r="AQ21" s="12">
        <f>AP21/0.5*10</f>
        <v>140</v>
      </c>
      <c r="AR21" s="12">
        <v>10.62</v>
      </c>
      <c r="AS21" s="12">
        <f>AR21/0.5*10</f>
        <v>212.39999999999998</v>
      </c>
      <c r="AT21" s="12">
        <v>17.47</v>
      </c>
      <c r="AU21" s="12">
        <f>AT21/0.5*20</f>
        <v>698.8</v>
      </c>
      <c r="AV21" s="45"/>
      <c r="AW21" s="45"/>
      <c r="AX21" s="45"/>
      <c r="AY21" s="45"/>
      <c r="AZ21" s="45"/>
      <c r="BA21" s="45"/>
      <c r="BB21" s="45"/>
      <c r="BC21" s="16"/>
      <c r="BD21" s="45"/>
      <c r="BE21" s="19"/>
      <c r="BF21" s="43"/>
      <c r="BG21" s="16"/>
      <c r="BH21" s="16"/>
      <c r="BI21" s="16"/>
      <c r="BJ21" s="16"/>
      <c r="BK21" s="16"/>
      <c r="BL21" s="38"/>
      <c r="BM21" s="16"/>
      <c r="BN21" s="38"/>
      <c r="BO21" s="16"/>
      <c r="BP21" s="43"/>
      <c r="BQ21" s="16"/>
      <c r="BR21" s="16"/>
      <c r="BS21" s="16"/>
      <c r="BT21" s="16"/>
      <c r="BU21" s="16"/>
      <c r="BV21" s="38"/>
      <c r="BW21" s="16"/>
      <c r="BX21" s="38"/>
      <c r="BY21" s="20"/>
      <c r="BZ21" s="43"/>
      <c r="CA21" s="16"/>
      <c r="CB21" s="16"/>
      <c r="CC21" s="16"/>
      <c r="CD21" s="16"/>
      <c r="CE21" s="16"/>
      <c r="CF21" s="38"/>
      <c r="CG21" s="16"/>
      <c r="CH21" s="38"/>
      <c r="DH21" s="2"/>
      <c r="DI21" s="2"/>
      <c r="DJ21" s="2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</row>
    <row r="22" spans="1:134" ht="15.75" x14ac:dyDescent="0.25">
      <c r="A22" t="s">
        <v>20</v>
      </c>
      <c r="B22" s="52">
        <f>SUM(B$21+B$20)</f>
        <v>29.259999999999998</v>
      </c>
      <c r="C22" s="30">
        <f>B22/AVERAGE($S11,$Q11)</f>
        <v>0.72849495829702471</v>
      </c>
      <c r="D22" s="52">
        <f>SUM(D$21+D$20)</f>
        <v>29.87</v>
      </c>
      <c r="E22" s="30">
        <f>D22/AVERAGE($S11,$Q11)</f>
        <v>0.7436823104693141</v>
      </c>
      <c r="F22" s="138">
        <f>F20+F21</f>
        <v>28.060000000000002</v>
      </c>
      <c r="G22" s="30">
        <f>F22/AVERAGE($S11,$Q11)</f>
        <v>0.69861819992530816</v>
      </c>
      <c r="H22" s="34"/>
      <c r="I22" s="274">
        <f>AVERAGE(F22,D22,B22)</f>
        <v>29.063333333333333</v>
      </c>
      <c r="J22" s="30">
        <f>STDEV(D22,F22)/I22</f>
        <v>4.4037043489424825E-2</v>
      </c>
      <c r="L22" s="35"/>
      <c r="M22" s="58"/>
      <c r="N22" s="58"/>
      <c r="O22" s="58"/>
      <c r="P22" s="58"/>
      <c r="Q22" s="58"/>
      <c r="R22" s="58"/>
      <c r="U22" s="38"/>
      <c r="V22" s="38"/>
      <c r="W22" s="38"/>
      <c r="X22" s="16"/>
      <c r="Y22" s="13"/>
      <c r="Z22" s="12"/>
      <c r="AA22" s="13"/>
      <c r="AB22" s="12"/>
      <c r="AC22" s="12"/>
      <c r="AD22" s="12"/>
      <c r="AE22" s="12"/>
      <c r="AF22" s="12"/>
      <c r="AG22" s="12"/>
      <c r="AH22" s="12"/>
      <c r="AI22" s="16"/>
      <c r="AJ22" s="45"/>
      <c r="AK22" s="43"/>
      <c r="AL22" s="12">
        <f>SUM(AL20,AL21)</f>
        <v>3.85</v>
      </c>
      <c r="AM22">
        <f>AL22/0.5*10</f>
        <v>77</v>
      </c>
      <c r="AN22" s="12">
        <f>SUM(AN20,AN21)</f>
        <v>15.629999999999999</v>
      </c>
      <c r="AO22" s="12">
        <f>AN22/0.5*10</f>
        <v>312.59999999999997</v>
      </c>
      <c r="AP22" s="13">
        <f>SUM(AP20,AP21)</f>
        <v>23.1</v>
      </c>
      <c r="AQ22" s="12">
        <f>AP22/0.5*10</f>
        <v>462</v>
      </c>
      <c r="AR22" s="13">
        <f>SUM(AR20,AR21)</f>
        <v>35.81</v>
      </c>
      <c r="AS22" s="12">
        <f>AR22/0.5*10</f>
        <v>716.2</v>
      </c>
      <c r="AT22" s="13">
        <f>SUM(AT20,AT21)</f>
        <v>36.209999999999994</v>
      </c>
      <c r="AU22" s="12">
        <f>AT22/0.5*20</f>
        <v>1448.3999999999996</v>
      </c>
      <c r="AV22" s="21" t="s">
        <v>78</v>
      </c>
      <c r="AW22" s="45"/>
      <c r="AX22" s="45"/>
      <c r="AY22" s="45"/>
      <c r="AZ22" s="45"/>
      <c r="BA22" s="45"/>
      <c r="BB22" s="45"/>
      <c r="BC22" s="16"/>
      <c r="BD22" s="45"/>
      <c r="BE22" s="19"/>
      <c r="BF22" s="19"/>
      <c r="BG22" s="16"/>
      <c r="BH22" s="19"/>
      <c r="BI22" s="16"/>
      <c r="BJ22" s="19"/>
      <c r="BK22" s="16"/>
      <c r="BL22" s="38"/>
      <c r="BM22" s="16"/>
      <c r="BN22" s="38"/>
      <c r="BO22" s="19"/>
      <c r="BP22" s="19"/>
      <c r="BQ22" s="16"/>
      <c r="BR22" s="19"/>
      <c r="BS22" s="16"/>
      <c r="BT22" s="19"/>
      <c r="BU22" s="16"/>
      <c r="BV22" s="38"/>
      <c r="BW22" s="16"/>
      <c r="BX22" s="38"/>
      <c r="BY22" s="20"/>
      <c r="BZ22" s="19"/>
      <c r="CA22" s="16"/>
      <c r="CB22" s="19"/>
      <c r="CC22" s="16"/>
      <c r="CD22" s="19"/>
      <c r="CE22" s="16"/>
      <c r="CF22" s="38"/>
      <c r="CG22" s="16"/>
      <c r="CH22" s="38"/>
      <c r="DH22" s="2"/>
      <c r="DI22" s="2"/>
      <c r="DJ22" s="2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</row>
    <row r="23" spans="1:134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37"/>
      <c r="R23" s="37"/>
      <c r="S23" s="1"/>
      <c r="T23" s="1"/>
      <c r="U23" s="37"/>
      <c r="V23" s="37"/>
      <c r="W23" s="37"/>
      <c r="X23" s="19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21"/>
      <c r="AJ23" s="21"/>
      <c r="AK23" s="20"/>
      <c r="AL23" s="31"/>
      <c r="AM23" s="69">
        <f>AM22/AL24</f>
        <v>0.154</v>
      </c>
      <c r="AN23" s="31"/>
      <c r="AO23" s="69">
        <f>AO22/AN24</f>
        <v>0.31259999999999999</v>
      </c>
      <c r="AP23" s="31"/>
      <c r="AQ23" s="69">
        <f>AQ22/AP24</f>
        <v>0.23100000000000001</v>
      </c>
      <c r="AR23" s="31"/>
      <c r="AS23" s="69">
        <f>AS22/AR24</f>
        <v>0.23873333333333335</v>
      </c>
      <c r="AT23" s="31"/>
      <c r="AU23" s="69">
        <f>AU22/AT24</f>
        <v>0.36209999999999992</v>
      </c>
      <c r="AV23" s="2">
        <f>AVERAGE(AM23,AO23,AQ23,AS23,AU23)</f>
        <v>0.25968666666666668</v>
      </c>
      <c r="AW23" s="73"/>
      <c r="AX23" s="21"/>
      <c r="AY23" s="21"/>
      <c r="AZ23" s="21"/>
      <c r="BA23" s="21"/>
      <c r="BB23" s="21"/>
      <c r="BC23" s="21"/>
      <c r="BD23" s="21"/>
      <c r="BE23" s="20"/>
      <c r="BF23" s="66"/>
      <c r="BG23" s="66"/>
      <c r="BH23" s="66"/>
      <c r="BI23" s="66"/>
      <c r="BJ23" s="66"/>
      <c r="BK23" s="66"/>
      <c r="BL23" s="21"/>
      <c r="BM23" s="66"/>
      <c r="BN23" s="66"/>
      <c r="BO23" s="21"/>
      <c r="BP23" s="66"/>
      <c r="BQ23" s="66"/>
      <c r="BR23" s="66"/>
      <c r="BS23" s="66"/>
      <c r="BT23" s="66"/>
      <c r="BU23" s="66"/>
      <c r="BV23" s="21"/>
      <c r="BW23" s="66"/>
      <c r="BX23" s="66"/>
      <c r="BY23" s="16"/>
      <c r="BZ23" s="66"/>
      <c r="CA23" s="66"/>
      <c r="CB23" s="66"/>
      <c r="CC23" s="66"/>
      <c r="CD23" s="66"/>
      <c r="CE23" s="66"/>
      <c r="CF23" s="21"/>
      <c r="CG23" s="66"/>
      <c r="CH23" s="66"/>
    </row>
    <row r="24" spans="1:134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19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22"/>
      <c r="AJ24" s="22"/>
      <c r="AK24" s="44"/>
      <c r="AL24" s="32">
        <v>500</v>
      </c>
      <c r="AM24" s="59"/>
      <c r="AN24" s="59">
        <v>1000</v>
      </c>
      <c r="AO24" s="59"/>
      <c r="AP24" s="59">
        <v>2000</v>
      </c>
      <c r="AQ24" s="59"/>
      <c r="AR24" s="59">
        <v>3000</v>
      </c>
      <c r="AS24" s="59"/>
      <c r="AT24" s="59">
        <v>4000</v>
      </c>
      <c r="AU24" s="32"/>
      <c r="AV24" s="22"/>
      <c r="AW24" s="22"/>
      <c r="AX24" s="22"/>
      <c r="AY24" s="22"/>
      <c r="AZ24" s="22"/>
      <c r="BA24" s="22"/>
      <c r="BB24" s="22"/>
      <c r="BC24" s="22"/>
      <c r="BD24" s="22"/>
      <c r="BE24" s="44"/>
      <c r="BF24" s="67"/>
      <c r="BG24" s="67"/>
      <c r="BH24" s="67"/>
      <c r="BI24" s="67"/>
      <c r="BJ24" s="67"/>
      <c r="BK24" s="67"/>
      <c r="BL24" s="22"/>
      <c r="BM24" s="67"/>
      <c r="BN24" s="67"/>
      <c r="BO24" s="22"/>
      <c r="BP24" s="67"/>
      <c r="BQ24" s="67"/>
      <c r="BR24" s="67"/>
      <c r="BS24" s="67"/>
      <c r="BT24" s="67"/>
      <c r="BU24" s="67"/>
      <c r="BV24" s="22"/>
      <c r="BW24" s="67"/>
      <c r="BX24" s="67"/>
      <c r="BY24" s="19"/>
      <c r="BZ24" s="67"/>
      <c r="CA24" s="67"/>
      <c r="CB24" s="67"/>
      <c r="CC24" s="67"/>
      <c r="CD24" s="67"/>
      <c r="CE24" s="67"/>
      <c r="CF24" s="22"/>
      <c r="CG24" s="67"/>
      <c r="CH24" s="67"/>
    </row>
    <row r="25" spans="1:134" x14ac:dyDescent="0.25">
      <c r="A25" t="s">
        <v>2</v>
      </c>
      <c r="B25" s="30">
        <f>ABS(B22-B24)/B24</f>
        <v>0.26850000000000007</v>
      </c>
      <c r="C25" s="33"/>
      <c r="D25" s="98">
        <f>ABS(D22-D24)/D24</f>
        <v>0.25324999999999998</v>
      </c>
      <c r="E25" s="34"/>
      <c r="F25" s="30">
        <f>ABS(F22-F24)/F24</f>
        <v>0.29849999999999993</v>
      </c>
      <c r="G25" s="34"/>
      <c r="H25" s="34"/>
      <c r="I25" s="34"/>
      <c r="J25" s="34"/>
      <c r="L25" s="23"/>
      <c r="M25" s="23"/>
      <c r="N25" s="23"/>
      <c r="O25" s="23"/>
      <c r="P25" s="23"/>
      <c r="Q25" s="23"/>
      <c r="R25" s="23"/>
      <c r="S25" s="38"/>
      <c r="T25" s="38"/>
      <c r="U25" s="19"/>
      <c r="V25" s="19"/>
      <c r="W25" s="19"/>
      <c r="X25" s="19"/>
      <c r="Y25" s="45"/>
      <c r="Z25" s="23"/>
      <c r="AA25" s="45"/>
      <c r="AB25" s="38"/>
      <c r="AC25" s="45"/>
      <c r="AD25" s="38"/>
      <c r="AE25" s="38"/>
      <c r="AF25" s="38"/>
      <c r="AG25" s="38"/>
      <c r="AH25" s="38"/>
      <c r="AI25" s="38"/>
      <c r="AJ25" s="38"/>
      <c r="AK25" s="16"/>
      <c r="AL25" s="30">
        <f>ABS(AM22-AL24)/AL24</f>
        <v>0.84599999999999997</v>
      </c>
      <c r="AM25" s="23"/>
      <c r="AN25" s="30">
        <f>ABS(AO22-AN24)/AN24</f>
        <v>0.68740000000000012</v>
      </c>
      <c r="AO25" s="38"/>
      <c r="AP25" s="30">
        <f>ABS(AQ22-AP24)/AP24</f>
        <v>0.76900000000000002</v>
      </c>
      <c r="AQ25" s="38"/>
      <c r="AR25" s="30">
        <f>ABS(AS22-AR24)/AR24</f>
        <v>0.76126666666666676</v>
      </c>
      <c r="AS25" s="38"/>
      <c r="AT25" s="30">
        <f>ABS(AU22-AT24)/AT24</f>
        <v>0.63790000000000013</v>
      </c>
      <c r="AU25" s="16"/>
      <c r="AV25" s="2"/>
      <c r="AW25" s="2"/>
      <c r="AX25" s="2"/>
      <c r="AY25" s="2"/>
      <c r="AZ25" s="49"/>
      <c r="BA25" s="38"/>
      <c r="BB25" s="38"/>
      <c r="BC25" s="38"/>
      <c r="BD25" s="38"/>
      <c r="BE25" s="16"/>
      <c r="BF25" s="38"/>
      <c r="BG25" s="23"/>
      <c r="BH25" s="23"/>
      <c r="BI25" s="38"/>
      <c r="BJ25" s="23"/>
      <c r="BK25" s="38"/>
      <c r="BL25" s="38"/>
      <c r="BM25" s="38"/>
      <c r="BN25" s="38"/>
      <c r="BO25" s="20"/>
      <c r="BP25" s="23"/>
      <c r="BQ25" s="23"/>
      <c r="BR25" s="23"/>
      <c r="BS25" s="38"/>
      <c r="BT25" s="23"/>
      <c r="BU25" s="38"/>
      <c r="BV25" s="38"/>
      <c r="BW25" s="38"/>
      <c r="BX25" s="38"/>
      <c r="BY25" s="16"/>
      <c r="BZ25" s="38"/>
      <c r="CA25" s="23"/>
      <c r="CB25" s="38"/>
      <c r="CC25" s="38"/>
      <c r="CD25" s="23"/>
      <c r="CE25" s="38"/>
      <c r="CF25" s="38"/>
      <c r="CG25" s="38"/>
      <c r="CH25" s="38"/>
    </row>
    <row r="26" spans="1:134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M26" s="35"/>
      <c r="N26" s="35"/>
      <c r="O26" s="35"/>
      <c r="V26" s="35"/>
      <c r="AZ26" s="35"/>
      <c r="BA26" s="35"/>
      <c r="BB26" s="35"/>
      <c r="BC26" s="35"/>
      <c r="BD26" s="35"/>
      <c r="BE26" s="35"/>
    </row>
    <row r="27" spans="1:134" x14ac:dyDescent="0.25">
      <c r="Y27" s="102"/>
      <c r="AM27" s="134"/>
      <c r="AO27" s="134"/>
      <c r="AQ27" s="134"/>
      <c r="AU27" s="134"/>
      <c r="AW27" s="134"/>
    </row>
    <row r="28" spans="1:134" x14ac:dyDescent="0.25">
      <c r="A28" t="s">
        <v>26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134" x14ac:dyDescent="0.25">
      <c r="A29" t="s">
        <v>3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134" x14ac:dyDescent="0.25">
      <c r="A30" t="str">
        <f>"-OR-"</f>
        <v>-OR-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134" x14ac:dyDescent="0.25">
      <c r="A31" t="s">
        <v>24</v>
      </c>
      <c r="X31" s="16"/>
      <c r="Y31" s="17"/>
      <c r="Z31" s="18"/>
      <c r="AA31" s="60"/>
      <c r="AB31" s="18"/>
      <c r="AC31" s="60"/>
      <c r="AD31" s="18"/>
      <c r="AE31" s="60"/>
      <c r="AF31" s="18"/>
      <c r="AG31" s="60"/>
      <c r="AH31" s="18"/>
      <c r="AI31" s="16"/>
    </row>
    <row r="32" spans="1:134" x14ac:dyDescent="0.25">
      <c r="A32" t="s">
        <v>25</v>
      </c>
      <c r="X32" s="16"/>
      <c r="Y32" s="16"/>
      <c r="Z32" s="23"/>
      <c r="AA32" s="16"/>
      <c r="AB32" s="23"/>
      <c r="AC32" s="16"/>
      <c r="AD32" s="23"/>
      <c r="AE32" s="16"/>
      <c r="AF32" s="23"/>
      <c r="AG32" s="16"/>
      <c r="AH32" s="23"/>
      <c r="AI32" s="16"/>
    </row>
    <row r="33" spans="1:35" x14ac:dyDescent="0.25">
      <c r="X33" s="16"/>
      <c r="Y33" s="16"/>
      <c r="Z33" s="38"/>
      <c r="AA33" s="16"/>
      <c r="AB33" s="38"/>
      <c r="AC33" s="16"/>
      <c r="AD33" s="38"/>
      <c r="AE33" s="16"/>
      <c r="AF33" s="23"/>
      <c r="AG33" s="16"/>
      <c r="AH33" s="23"/>
      <c r="AI33" s="16"/>
    </row>
    <row r="34" spans="1:35" x14ac:dyDescent="0.25">
      <c r="A34" t="s">
        <v>23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t="s">
        <v>18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5">
      <c r="X36" s="16"/>
      <c r="Y36" s="19"/>
      <c r="Z36" s="16"/>
      <c r="AA36" s="19"/>
      <c r="AB36" s="16"/>
      <c r="AC36" s="19"/>
      <c r="AD36" s="16"/>
      <c r="AE36" s="19"/>
      <c r="AF36" s="16"/>
      <c r="AG36" s="19"/>
      <c r="AH36" s="16"/>
      <c r="AI36" s="16"/>
    </row>
    <row r="37" spans="1:35" x14ac:dyDescent="0.25">
      <c r="A37" t="s">
        <v>19</v>
      </c>
      <c r="X37" s="16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6"/>
    </row>
    <row r="38" spans="1:35" x14ac:dyDescent="0.25">
      <c r="A38" t="s">
        <v>3</v>
      </c>
      <c r="X38" s="16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6"/>
    </row>
    <row r="39" spans="1:35" x14ac:dyDescent="0.25">
      <c r="X39" s="16"/>
      <c r="Y39" s="45"/>
      <c r="Z39" s="23"/>
      <c r="AA39" s="45"/>
      <c r="AB39" s="38"/>
      <c r="AC39" s="45"/>
      <c r="AD39" s="38"/>
      <c r="AE39" s="38"/>
      <c r="AF39" s="38"/>
      <c r="AG39" s="38"/>
      <c r="AH39" s="38"/>
      <c r="AI39" s="16"/>
    </row>
    <row r="40" spans="1:35" x14ac:dyDescent="0.25">
      <c r="A40" t="s">
        <v>14</v>
      </c>
      <c r="X40" s="16"/>
      <c r="Y40" s="38"/>
      <c r="Z40" s="16"/>
      <c r="AA40" s="38"/>
      <c r="AB40" s="16"/>
      <c r="AC40" s="38"/>
      <c r="AD40" s="16"/>
      <c r="AE40" s="135"/>
      <c r="AF40" s="16"/>
      <c r="AG40" s="135"/>
      <c r="AH40" s="16"/>
      <c r="AI40" s="16"/>
    </row>
    <row r="41" spans="1:35" x14ac:dyDescent="0.25">
      <c r="A41" t="s">
        <v>4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x14ac:dyDescent="0.25">
      <c r="X42" s="16"/>
      <c r="Y42" s="17"/>
      <c r="Z42" s="18"/>
      <c r="AA42" s="60"/>
      <c r="AB42" s="18"/>
      <c r="AC42" s="60"/>
      <c r="AD42" s="18"/>
      <c r="AE42" s="60"/>
      <c r="AF42" s="18"/>
      <c r="AG42" s="60"/>
      <c r="AH42" s="18"/>
      <c r="AI42" s="16"/>
    </row>
    <row r="43" spans="1:35" x14ac:dyDescent="0.25">
      <c r="A43" t="s">
        <v>27</v>
      </c>
      <c r="X43" s="16"/>
      <c r="Y43" s="16"/>
      <c r="Z43" s="23"/>
      <c r="AA43" s="16"/>
      <c r="AB43" s="23"/>
      <c r="AC43" s="16"/>
      <c r="AD43" s="23"/>
      <c r="AE43" s="16"/>
      <c r="AF43" s="23"/>
      <c r="AG43" s="16"/>
      <c r="AH43" s="23"/>
      <c r="AI43" s="16"/>
    </row>
    <row r="44" spans="1:35" x14ac:dyDescent="0.25">
      <c r="A44" t="s">
        <v>28</v>
      </c>
      <c r="X44" s="16"/>
      <c r="Y44" s="16"/>
      <c r="Z44" s="38"/>
      <c r="AA44" s="16"/>
      <c r="AB44" s="38"/>
      <c r="AC44" s="16"/>
      <c r="AD44" s="38"/>
      <c r="AE44" s="16"/>
      <c r="AF44" s="23"/>
      <c r="AG44" s="16"/>
      <c r="AH44" s="38"/>
      <c r="AI44" s="16"/>
    </row>
    <row r="45" spans="1:35" x14ac:dyDescent="0.25">
      <c r="A45" t="s">
        <v>29</v>
      </c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9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9"/>
      <c r="Y47" s="19"/>
      <c r="Z47" s="16"/>
      <c r="AA47" s="19"/>
      <c r="AB47" s="16"/>
      <c r="AC47" s="16"/>
      <c r="AD47" s="16"/>
      <c r="AE47" s="16"/>
      <c r="AF47" s="16"/>
      <c r="AG47" s="16"/>
      <c r="AH47" s="16"/>
      <c r="AI47" s="16"/>
    </row>
    <row r="48" spans="1:35" x14ac:dyDescent="0.25">
      <c r="X48" s="16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6"/>
    </row>
    <row r="49" spans="24:35" x14ac:dyDescent="0.25">
      <c r="X49" s="16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6"/>
    </row>
    <row r="50" spans="24:35" x14ac:dyDescent="0.25"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79998168889431442"/>
  </sheetPr>
  <dimension ref="A1:T27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0.9</v>
      </c>
      <c r="C4" s="119">
        <v>0.83</v>
      </c>
      <c r="D4" s="119">
        <v>0.78</v>
      </c>
      <c r="E4" s="143">
        <v>0.87</v>
      </c>
      <c r="F4" s="123">
        <v>0.86</v>
      </c>
      <c r="G4" s="123">
        <v>0.95</v>
      </c>
      <c r="H4" s="278">
        <v>0.88</v>
      </c>
      <c r="I4" s="123">
        <v>0.87</v>
      </c>
      <c r="J4" s="126">
        <v>0.86</v>
      </c>
      <c r="K4" s="126">
        <v>0.9</v>
      </c>
      <c r="L4" s="126">
        <v>0.77</v>
      </c>
      <c r="M4" s="126">
        <v>0.74</v>
      </c>
      <c r="N4" s="126">
        <v>0.84</v>
      </c>
      <c r="O4" s="126">
        <v>0.78</v>
      </c>
      <c r="P4" s="126">
        <v>0.85</v>
      </c>
      <c r="Q4" s="126">
        <v>0.86</v>
      </c>
      <c r="R4" s="126">
        <v>0.83</v>
      </c>
      <c r="S4" s="126">
        <v>0.9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3">
      <c r="A10" s="116" t="s">
        <v>215</v>
      </c>
      <c r="B10" s="154" t="s">
        <v>351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2">
        <v>142.5</v>
      </c>
      <c r="L10" s="12">
        <v>450.2</v>
      </c>
      <c r="M10" s="12">
        <v>559.79999999999995</v>
      </c>
      <c r="N10" s="71">
        <v>1437</v>
      </c>
      <c r="O10" s="12">
        <v>1836</v>
      </c>
      <c r="P10" s="71">
        <v>6.1</v>
      </c>
      <c r="Q10" s="71">
        <v>16.8</v>
      </c>
      <c r="R10" s="16"/>
    </row>
    <row r="11" spans="1:20" ht="39" customHeight="1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156" t="s">
        <v>232</v>
      </c>
      <c r="Q11" s="156" t="s">
        <v>183</v>
      </c>
      <c r="R11" s="85"/>
    </row>
    <row r="12" spans="1:20" ht="0.75" customHeight="1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76.5" customHeight="1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79998168889431442"/>
  </sheetPr>
  <dimension ref="A2:GU50"/>
  <sheetViews>
    <sheetView zoomScale="70" zoomScaleNormal="70" zoomScaleSheetLayoutView="40" workbookViewId="0">
      <pane xSplit="1" topLeftCell="AJ1" activePane="topRight" state="frozen"/>
      <selection pane="topRight" activeCell="O19" sqref="O19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3.28515625" customWidth="1"/>
    <col min="13" max="13" width="12.28515625" customWidth="1"/>
    <col min="14" max="14" width="13.140625" customWidth="1"/>
    <col min="15" max="15" width="12.85546875" customWidth="1"/>
    <col min="16" max="16" width="12.140625" customWidth="1"/>
    <col min="17" max="17" width="12.4257812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226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s="102">
        <v>43976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214</v>
      </c>
      <c r="BB6" s="24"/>
      <c r="BC6" s="27" t="s">
        <v>228</v>
      </c>
      <c r="BD6" s="24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 t="s">
        <v>158</v>
      </c>
      <c r="C7" s="29" t="e">
        <f>B7/AVERAGE($M7,$N7)</f>
        <v>#VALUE!</v>
      </c>
      <c r="D7" t="s">
        <v>159</v>
      </c>
      <c r="E7" s="29" t="e">
        <f>D7/AVERAGE($M7,$N7)</f>
        <v>#VALUE!</v>
      </c>
      <c r="F7" s="12" t="s">
        <v>159</v>
      </c>
      <c r="G7" s="29" t="e">
        <f>F7/AVERAGE($M7,$N7)</f>
        <v>#VALUE!</v>
      </c>
      <c r="H7" s="33"/>
      <c r="I7" s="12" t="e">
        <f>AVERAGE(B7,D7,F7)</f>
        <v>#DIV/0!</v>
      </c>
      <c r="J7" s="30" t="e">
        <f>STDEV(B7,D7,F7)/I7</f>
        <v>#DIV/0!</v>
      </c>
      <c r="K7" s="19"/>
      <c r="L7" s="12" t="s">
        <v>159</v>
      </c>
      <c r="M7" s="12" t="s">
        <v>158</v>
      </c>
      <c r="N7" s="12" t="s">
        <v>158</v>
      </c>
      <c r="O7" s="12" t="s">
        <v>159</v>
      </c>
      <c r="P7" s="12" t="s">
        <v>158</v>
      </c>
      <c r="Q7" s="12" t="s">
        <v>158</v>
      </c>
      <c r="R7" s="53" t="e">
        <f>AVERAGE(L7,M7,N7,#REF!,O7,P7,Q7,#REF!)</f>
        <v>#REF!</v>
      </c>
      <c r="S7" s="54" t="e">
        <f>ABS(L7-O7)/AVERAGE(O7,L7)</f>
        <v>#VALUE!</v>
      </c>
      <c r="T7" s="38"/>
      <c r="U7" s="38"/>
      <c r="V7" s="16"/>
      <c r="W7" s="12" t="s">
        <v>158</v>
      </c>
      <c r="X7" s="29" t="e">
        <f>W7/AVERAGE($M7,$N7)</f>
        <v>#VALUE!</v>
      </c>
      <c r="Y7" s="12" t="s">
        <v>158</v>
      </c>
      <c r="Z7" s="29"/>
      <c r="AA7" s="12" t="s">
        <v>158</v>
      </c>
      <c r="AB7" s="29" t="e">
        <f>AA7/AVERAGE($M7,$N7)</f>
        <v>#VALUE!</v>
      </c>
      <c r="AC7" s="12" t="s">
        <v>158</v>
      </c>
      <c r="AD7" s="29" t="e">
        <f>AC7/AVERAGE($M7,$N7)</f>
        <v>#VALUE!</v>
      </c>
      <c r="AE7" s="12" t="s">
        <v>159</v>
      </c>
      <c r="AF7" s="29" t="e">
        <f>AE7/AVERAGE($M7,$N7)</f>
        <v>#VALUE!</v>
      </c>
      <c r="AG7" s="16"/>
      <c r="AH7" s="38"/>
      <c r="AI7" s="20"/>
      <c r="AJ7" s="12" t="s">
        <v>158</v>
      </c>
      <c r="AK7" s="29" t="e">
        <f>AJ7*10/AVERAGE($L7,$M7)</f>
        <v>#VALUE!</v>
      </c>
      <c r="AL7" s="12" t="s">
        <v>159</v>
      </c>
      <c r="AM7" s="29" t="e">
        <f>AL7*10/AVERAGE($L7,$M7)</f>
        <v>#VALUE!</v>
      </c>
      <c r="AN7" s="12" t="s">
        <v>158</v>
      </c>
      <c r="AO7" s="29" t="e">
        <f>AN7*10/AVERAGE($L7,$M7)</f>
        <v>#VALUE!</v>
      </c>
      <c r="AP7" s="12" t="s">
        <v>158</v>
      </c>
      <c r="AQ7" s="29" t="e">
        <f>AP7*10/AVERAGE($L7,$M7)</f>
        <v>#VALUE!</v>
      </c>
      <c r="AR7" s="12" t="s">
        <v>158</v>
      </c>
      <c r="AS7" s="29" t="e">
        <f>AR7*20/AVERAGE($L7,$M7)</f>
        <v>#VALUE!</v>
      </c>
      <c r="AT7" s="43"/>
      <c r="AU7" s="12" t="s">
        <v>159</v>
      </c>
      <c r="AV7" s="29" t="e">
        <f>AU7/AVERAGE($L7,$M7)</f>
        <v>#VALUE!</v>
      </c>
      <c r="AW7" s="12" t="s">
        <v>158</v>
      </c>
      <c r="AX7" s="29" t="e">
        <f>AW7/AVERAGE($L7,$M7)</f>
        <v>#VALUE!</v>
      </c>
      <c r="AY7" s="12" t="s">
        <v>159</v>
      </c>
      <c r="AZ7" s="29" t="e">
        <f>AY7/AVERAGE($L7,$M7)</f>
        <v>#VALUE!</v>
      </c>
      <c r="BA7" s="12" t="s">
        <v>158</v>
      </c>
      <c r="BB7" s="29" t="e">
        <f>BA7/AVERAGE($L7,$M7)</f>
        <v>#VALUE!</v>
      </c>
      <c r="BC7" s="12" t="s">
        <v>158</v>
      </c>
      <c r="BD7" s="29" t="e">
        <f>BC7/AVERAGE($L7,$M7)</f>
        <v>#VALUE!</v>
      </c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37.049999999999997</v>
      </c>
      <c r="C8" s="30">
        <f>B8/AVERAGE($M8,$N8)</f>
        <v>0.89796412990790098</v>
      </c>
      <c r="D8">
        <v>34.409999999999997</v>
      </c>
      <c r="E8" s="30">
        <f>D8/AVERAGE($M8,$N8)</f>
        <v>0.83397964129907887</v>
      </c>
      <c r="F8" s="12">
        <v>32.340000000000003</v>
      </c>
      <c r="G8" s="30">
        <f>F8/AVERAGE($M8,$N8)</f>
        <v>0.78380998545807079</v>
      </c>
      <c r="H8" s="34"/>
      <c r="I8" s="12">
        <f>AVERAGE(B8,D8,F8)</f>
        <v>34.6</v>
      </c>
      <c r="J8" s="30">
        <f>STDEV(B8,D8,F8)/I8</f>
        <v>6.8229520490305257E-2</v>
      </c>
      <c r="K8" s="19"/>
      <c r="L8" s="12">
        <v>39.32</v>
      </c>
      <c r="M8" s="12">
        <v>40.82</v>
      </c>
      <c r="N8" s="12">
        <v>41.7</v>
      </c>
      <c r="O8" s="12">
        <v>40.880000000000003</v>
      </c>
      <c r="P8" s="12">
        <v>40.28</v>
      </c>
      <c r="Q8" s="12">
        <v>41.53</v>
      </c>
      <c r="R8" s="141">
        <f>AVERAGE(L8,M8,N8,O8,P8,Q8)</f>
        <v>40.755000000000003</v>
      </c>
      <c r="S8" s="54">
        <f>ABS(O19-L19)/AVERAGE(O8,L8)</f>
        <v>2.1612635078967304E-3</v>
      </c>
      <c r="T8" s="38"/>
      <c r="U8" s="38"/>
      <c r="V8" s="16"/>
      <c r="W8" s="12">
        <v>35.33</v>
      </c>
      <c r="X8" s="30">
        <f>W8/AVERAGE($M8,$N8)</f>
        <v>0.8562772661173047</v>
      </c>
      <c r="Y8" s="12">
        <v>37.1</v>
      </c>
      <c r="Z8" s="30">
        <f>Y8/AVERAGE($M8,$N8)</f>
        <v>0.89917595734367417</v>
      </c>
      <c r="AA8" s="12">
        <v>31.68</v>
      </c>
      <c r="AB8" s="30">
        <f>AA8/AVERAGE($M8,$N8)</f>
        <v>0.7678138633058651</v>
      </c>
      <c r="AC8" s="12">
        <v>30.33</v>
      </c>
      <c r="AD8" s="30">
        <f>AC8/AVERAGE($M8,$N8)</f>
        <v>0.73509452253999019</v>
      </c>
      <c r="AE8" s="12">
        <v>34.659999999999997</v>
      </c>
      <c r="AF8" s="30">
        <f>AE8/AVERAGE($M8,$N8)</f>
        <v>0.8400387784779445</v>
      </c>
      <c r="AG8" s="16"/>
      <c r="AH8" s="23"/>
      <c r="AI8" s="20"/>
      <c r="AJ8" s="12" t="s">
        <v>158</v>
      </c>
      <c r="AK8" s="30" t="e">
        <f>AJ8*10/AVERAGE($L8,$M8)</f>
        <v>#VALUE!</v>
      </c>
      <c r="AL8" s="12" t="s">
        <v>159</v>
      </c>
      <c r="AM8" s="30" t="e">
        <f>AL8*10/AVERAGE($L8,$M8)</f>
        <v>#VALUE!</v>
      </c>
      <c r="AN8" s="12" t="s">
        <v>158</v>
      </c>
      <c r="AO8" s="30" t="e">
        <f>AN8*10/AVERAGE($L8,$M8)</f>
        <v>#VALUE!</v>
      </c>
      <c r="AP8" s="12" t="s">
        <v>158</v>
      </c>
      <c r="AQ8" s="30" t="e">
        <f>AP8/0.5*10/AVERAGE($L8,$M8)</f>
        <v>#VALUE!</v>
      </c>
      <c r="AR8" s="12" t="s">
        <v>158</v>
      </c>
      <c r="AS8" s="30" t="e">
        <f>AR8*20/AVERAGE($L8,$M8)</f>
        <v>#VALUE!</v>
      </c>
      <c r="AT8" s="43"/>
      <c r="AU8" s="12">
        <v>32.68</v>
      </c>
      <c r="AV8" s="30">
        <f>AU8/AVERAGE($L8,$M8)</f>
        <v>0.81557274769153976</v>
      </c>
      <c r="AW8" s="12">
        <v>34</v>
      </c>
      <c r="AX8" s="30">
        <f>AW8/AVERAGE($L8,$M8)</f>
        <v>0.84851509857748941</v>
      </c>
      <c r="AY8" s="12">
        <v>35.200000000000003</v>
      </c>
      <c r="AZ8" s="30">
        <f>AY8/AVERAGE($L8,$M8)</f>
        <v>0.87846269029198909</v>
      </c>
      <c r="BA8" s="12">
        <v>35.06</v>
      </c>
      <c r="BB8" s="30">
        <f>BA8/AVERAGE($L8,$M8)</f>
        <v>0.87496880459196413</v>
      </c>
      <c r="BC8" s="12">
        <v>28.63</v>
      </c>
      <c r="BD8" s="30">
        <f>BC8/AVERAGE(O19)</f>
        <v>0.75554187192118216</v>
      </c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10.02</v>
      </c>
      <c r="C9" s="30">
        <f>B9/AVERAGE($M9,$N9)</f>
        <v>0.8223225276979893</v>
      </c>
      <c r="D9">
        <v>10.35</v>
      </c>
      <c r="E9" s="30">
        <f>D9/AVERAGE($M9,$N9)</f>
        <v>0.84940500615510872</v>
      </c>
      <c r="F9" s="12">
        <v>9.1</v>
      </c>
      <c r="G9" s="30">
        <f>F9/AVERAGE($M9,$N9)</f>
        <v>0.74681986048420179</v>
      </c>
      <c r="H9" s="34"/>
      <c r="I9" s="274">
        <f>AVERAGE(B9,D9,F9)</f>
        <v>9.8233333333333324</v>
      </c>
      <c r="J9" s="30">
        <f>STDEV(B9,D9,F9)/I9</f>
        <v>6.594412472994296E-2</v>
      </c>
      <c r="K9" s="16"/>
      <c r="L9" s="12">
        <v>12.84</v>
      </c>
      <c r="M9" s="12">
        <v>11.89</v>
      </c>
      <c r="N9" s="12">
        <v>12.48</v>
      </c>
      <c r="O9" s="12">
        <v>12.79</v>
      </c>
      <c r="P9" s="12">
        <v>13.17</v>
      </c>
      <c r="Q9" s="12">
        <v>10.97</v>
      </c>
      <c r="R9" s="141">
        <f>AVERAGE(L9,M9,N9,O9,P9,Q9)</f>
        <v>12.356666666666667</v>
      </c>
      <c r="S9" s="54">
        <f>ABS(L9-O9)/AVERAGE(O9,L9)</f>
        <v>3.9016777214202665E-3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3.96</v>
      </c>
      <c r="AK9" s="12">
        <f>AJ9/0.5*10</f>
        <v>79.2</v>
      </c>
      <c r="AL9" s="12">
        <v>10.49</v>
      </c>
      <c r="AM9" s="12">
        <f>AL9/0.5*10</f>
        <v>209.8</v>
      </c>
      <c r="AN9" s="12">
        <v>13.54</v>
      </c>
      <c r="AO9" s="12">
        <f>AN9/0.5*10</f>
        <v>270.79999999999995</v>
      </c>
      <c r="AP9" s="12">
        <v>29.6</v>
      </c>
      <c r="AQ9" s="12">
        <f>AP9/0.5*10</f>
        <v>592</v>
      </c>
      <c r="AR9" s="12">
        <v>19.11</v>
      </c>
      <c r="AS9" s="12">
        <f>AR9/0.5*20</f>
        <v>764.4</v>
      </c>
      <c r="AT9" s="45"/>
      <c r="AU9" s="12"/>
      <c r="AV9" s="12"/>
      <c r="AW9" s="12"/>
      <c r="AX9" s="12"/>
      <c r="AY9" s="12"/>
      <c r="AZ9" s="12"/>
      <c r="BA9" s="12">
        <v>0.82</v>
      </c>
      <c r="BB9" s="12"/>
      <c r="BC9" s="12">
        <v>1</v>
      </c>
      <c r="BD9" s="12">
        <f>BC9/0.5</f>
        <v>2</v>
      </c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18.489999999999998</v>
      </c>
      <c r="C10" s="30">
        <f>B10/AVERAGE($M10,$N10)</f>
        <v>0.74903787725339266</v>
      </c>
      <c r="D10">
        <v>18.28</v>
      </c>
      <c r="E10" s="30">
        <f>D10/AVERAGE($M10,$N10)</f>
        <v>0.74053068665181287</v>
      </c>
      <c r="F10" s="12">
        <v>16.45</v>
      </c>
      <c r="G10" s="98">
        <f>F10/AVERAGE($M10,$N10)</f>
        <v>0.66639659712375932</v>
      </c>
      <c r="H10" s="34"/>
      <c r="I10" s="12">
        <f>AVERAGE(B10,D10,F10)</f>
        <v>17.739999999999998</v>
      </c>
      <c r="J10" s="30">
        <f>STDEV(B10,D10,F10)/I10</f>
        <v>6.3252325397739742E-2</v>
      </c>
      <c r="K10" s="16"/>
      <c r="L10" s="12">
        <v>25.73</v>
      </c>
      <c r="M10" s="12">
        <v>24.52</v>
      </c>
      <c r="N10" s="12">
        <v>24.85</v>
      </c>
      <c r="O10" s="12">
        <v>26.62</v>
      </c>
      <c r="P10" s="12">
        <v>26.96</v>
      </c>
      <c r="Q10" s="12">
        <v>22.28</v>
      </c>
      <c r="R10" s="53">
        <f>AVERAGE(L10,M10,N10,O10,P10,Q10)</f>
        <v>25.16</v>
      </c>
      <c r="S10" s="54">
        <f>ABS(L10-O10)/AVERAGE(O10,L10)</f>
        <v>3.4001910219675281E-2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6.27</v>
      </c>
      <c r="AK10" s="12">
        <f>AJ10/0.5*10</f>
        <v>125.39999999999999</v>
      </c>
      <c r="AL10" s="12">
        <v>17.739999999999998</v>
      </c>
      <c r="AM10" s="12">
        <f>AL10/0.5*10</f>
        <v>354.79999999999995</v>
      </c>
      <c r="AN10" s="12">
        <v>25.72</v>
      </c>
      <c r="AO10" s="12">
        <f>AN10/0.5*10</f>
        <v>514.4</v>
      </c>
      <c r="AP10" s="12">
        <v>55.6</v>
      </c>
      <c r="AQ10" s="12">
        <f>AP10/0.5*10</f>
        <v>1112</v>
      </c>
      <c r="AR10" s="12">
        <v>38.380000000000003</v>
      </c>
      <c r="AS10" s="12">
        <f>AR10/0.5*20</f>
        <v>1535.2</v>
      </c>
      <c r="AT10" s="45"/>
      <c r="AU10" s="12"/>
      <c r="AV10" s="12"/>
      <c r="AW10" s="12"/>
      <c r="AX10" s="12"/>
      <c r="AY10" s="12"/>
      <c r="AZ10" s="12"/>
      <c r="BA10" s="12">
        <v>1.04</v>
      </c>
      <c r="BB10" s="12"/>
      <c r="BC10" s="12">
        <v>0.91</v>
      </c>
      <c r="BD10" s="12">
        <f>BC10/0.5</f>
        <v>1.82</v>
      </c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SUM(B9,B10)</f>
        <v>28.509999999999998</v>
      </c>
      <c r="C11" s="30">
        <f>B11/AVERAGE($M11,$N11)</f>
        <v>0.77325739083265532</v>
      </c>
      <c r="D11" s="52">
        <f>SUM(D9,D10)</f>
        <v>28.630000000000003</v>
      </c>
      <c r="E11" s="30">
        <f>D11/AVERAGE($M11,$N11)</f>
        <v>0.77651206943314355</v>
      </c>
      <c r="F11" s="52">
        <f>SUM(F9,F10)</f>
        <v>25.549999999999997</v>
      </c>
      <c r="G11" s="98">
        <f>F11/AVERAGE($M11,$N11)</f>
        <v>0.69297531868727957</v>
      </c>
      <c r="H11" s="34"/>
      <c r="I11" s="12">
        <f>AVERAGE(B11,D11)</f>
        <v>28.57</v>
      </c>
      <c r="J11" s="30">
        <f>STDEV(B11,D11,F11)/I11</f>
        <v>6.1065098203743506E-2</v>
      </c>
      <c r="K11" s="19"/>
      <c r="L11" s="136">
        <f t="shared" ref="L11:Q11" si="0">SUM(L9,L10)</f>
        <v>38.57</v>
      </c>
      <c r="M11" s="136">
        <f t="shared" si="0"/>
        <v>36.409999999999997</v>
      </c>
      <c r="N11" s="136">
        <f t="shared" si="0"/>
        <v>37.33</v>
      </c>
      <c r="O11" s="136">
        <f t="shared" si="0"/>
        <v>39.409999999999997</v>
      </c>
      <c r="P11" s="136">
        <f t="shared" si="0"/>
        <v>40.130000000000003</v>
      </c>
      <c r="Q11" s="136">
        <f t="shared" si="0"/>
        <v>33.25</v>
      </c>
      <c r="R11" s="141">
        <f>AVERAGE(L11,M11,N11,O11,P11,Q11)</f>
        <v>37.516666666666659</v>
      </c>
      <c r="S11" s="54">
        <f>ABS(L11-O11)/AVERAGE(O11,L11)</f>
        <v>2.1543985637342816E-2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2">
        <f>SUM(AJ9,AJ10)</f>
        <v>10.23</v>
      </c>
      <c r="AK11" s="12">
        <f>AJ11/0.5*10</f>
        <v>204.60000000000002</v>
      </c>
      <c r="AL11" s="12">
        <f>SUM(AL9,AL10)</f>
        <v>28.229999999999997</v>
      </c>
      <c r="AM11" s="12">
        <f>AL11/0.5*10</f>
        <v>564.59999999999991</v>
      </c>
      <c r="AN11" s="12">
        <f>SUM(AN9,AN10)</f>
        <v>39.26</v>
      </c>
      <c r="AO11" s="12">
        <f>AN11/0.5*10</f>
        <v>785.19999999999993</v>
      </c>
      <c r="AP11" s="13">
        <f>SUM(AP9,AP10)</f>
        <v>85.2</v>
      </c>
      <c r="AQ11" s="12">
        <f>AP11/0.5*10</f>
        <v>1704</v>
      </c>
      <c r="AR11" s="13">
        <f>SUM(AR9,AR10)</f>
        <v>57.49</v>
      </c>
      <c r="AS11" s="12">
        <f>AR11/0.5*20</f>
        <v>2299.6</v>
      </c>
      <c r="AT11" s="45" t="s">
        <v>81</v>
      </c>
      <c r="AU11" s="12"/>
      <c r="AV11" s="12"/>
      <c r="AW11" s="12"/>
      <c r="AX11" s="12"/>
      <c r="AY11" s="12"/>
      <c r="AZ11" s="12"/>
      <c r="BA11" s="12">
        <f>SUM(BA9,BA10)</f>
        <v>1.8599999999999999</v>
      </c>
      <c r="BB11" s="12"/>
      <c r="BC11" s="12"/>
      <c r="BD11" s="12">
        <f>SUM(BD9,BD10)</f>
        <v>3.8200000000000003</v>
      </c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 t="shared" ref="L12:R12" si="1">(L8+L11)/2</f>
        <v>38.945</v>
      </c>
      <c r="M12" s="275">
        <f t="shared" si="1"/>
        <v>38.614999999999995</v>
      </c>
      <c r="N12" s="275">
        <f t="shared" si="1"/>
        <v>39.515000000000001</v>
      </c>
      <c r="O12" s="275">
        <f t="shared" si="1"/>
        <v>40.144999999999996</v>
      </c>
      <c r="P12" s="275">
        <f t="shared" si="1"/>
        <v>40.204999999999998</v>
      </c>
      <c r="Q12" s="55">
        <f t="shared" si="1"/>
        <v>37.39</v>
      </c>
      <c r="R12" s="275">
        <f t="shared" si="1"/>
        <v>39.135833333333331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137"/>
      <c r="AK12" s="69">
        <f>AK11/AJ13</f>
        <v>0.40920000000000006</v>
      </c>
      <c r="AL12" s="31"/>
      <c r="AM12" s="69">
        <f>AM11/AL13</f>
        <v>0.56459999999999988</v>
      </c>
      <c r="AN12" s="31"/>
      <c r="AO12" s="69">
        <f>AO11/AN13</f>
        <v>0.39259999999999995</v>
      </c>
      <c r="AP12" s="31"/>
      <c r="AQ12" s="69">
        <f>AQ11/AP13</f>
        <v>0.56799999999999995</v>
      </c>
      <c r="AR12" s="31"/>
      <c r="AS12" s="69">
        <f>AS11/AR13</f>
        <v>0.57489999999999997</v>
      </c>
      <c r="AT12" s="2">
        <f>AVERAGE(AK12,AM12,AO12,AQ12,AS12)</f>
        <v>0.50185999999999997</v>
      </c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98">
        <f>ABS(B11-B13)/B13</f>
        <v>0.28725000000000006</v>
      </c>
      <c r="C14" s="33"/>
      <c r="D14" s="98">
        <f>ABS(D11-D13)/D13</f>
        <v>0.28424999999999995</v>
      </c>
      <c r="E14" s="34"/>
      <c r="F14" s="98">
        <f>ABS(F11-F13)/F13</f>
        <v>0.36125000000000007</v>
      </c>
      <c r="G14" s="34"/>
      <c r="H14" s="34"/>
      <c r="I14" s="34"/>
      <c r="J14" s="34"/>
      <c r="K14" s="38"/>
      <c r="L14" s="30">
        <f t="shared" ref="L14:R14" si="2">(L12-L13)/L13</f>
        <v>-2.6374999999999992E-2</v>
      </c>
      <c r="M14" s="30">
        <f t="shared" si="2"/>
        <v>-3.4625000000000128E-2</v>
      </c>
      <c r="N14" s="30">
        <f t="shared" si="2"/>
        <v>-1.2124999999999986E-2</v>
      </c>
      <c r="O14" s="30">
        <f t="shared" si="2"/>
        <v>3.6249999999999004E-3</v>
      </c>
      <c r="P14" s="30">
        <f t="shared" si="2"/>
        <v>5.1249999999999577E-3</v>
      </c>
      <c r="Q14" s="30">
        <f t="shared" si="2"/>
        <v>-6.5249999999999989E-2</v>
      </c>
      <c r="R14" s="30">
        <f t="shared" si="2"/>
        <v>-2.1604166666666737E-2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72">
        <f>ABS(AK11-AJ13)/AJ13</f>
        <v>0.59079999999999999</v>
      </c>
      <c r="AK14" s="61"/>
      <c r="AL14" s="72">
        <f>ABS(AM11-AL13)/AL13</f>
        <v>0.43540000000000006</v>
      </c>
      <c r="AM14" s="62"/>
      <c r="AN14" s="72">
        <f>ABS(AO11-AN13)/AN13</f>
        <v>0.60740000000000005</v>
      </c>
      <c r="AO14" s="62"/>
      <c r="AP14" s="72">
        <f>ABS(AQ11-AP13)/AP13</f>
        <v>0.432</v>
      </c>
      <c r="AQ14" s="62"/>
      <c r="AR14" s="72">
        <f>ABS(AS11-AR13)/AR13</f>
        <v>0.42510000000000003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0.81867768696404286</v>
      </c>
      <c r="X15" s="71"/>
      <c r="Y15" s="30">
        <f>AVERAGE(Z8,Z19)</f>
        <v>0.87655289738593067</v>
      </c>
      <c r="Z15" s="71"/>
      <c r="AA15" s="30">
        <f>AVERAGE(AB8,AB19)</f>
        <v>0.81588346263936451</v>
      </c>
      <c r="AB15" s="71"/>
      <c r="AC15" s="30">
        <f>AVERAGE(AD8,AD19)</f>
        <v>0.78314437653707736</v>
      </c>
      <c r="AD15" s="71"/>
      <c r="AE15" s="30">
        <f>AVERAGE(AF8,AF19)</f>
        <v>0.87179790042342398</v>
      </c>
      <c r="AF15" s="16"/>
      <c r="AG15" s="16"/>
      <c r="AH15" s="16"/>
      <c r="AI15" s="142" t="s">
        <v>129</v>
      </c>
      <c r="AJ15" s="103">
        <f>AVERAGE(AK11,AK22)</f>
        <v>142.5</v>
      </c>
      <c r="AK15" s="71"/>
      <c r="AL15" s="103">
        <f>AVERAGE(AM11,AM22)</f>
        <v>450.19999999999993</v>
      </c>
      <c r="AM15" s="71"/>
      <c r="AN15" s="103">
        <f>AVERAGE(AO22,AO11)</f>
        <v>559.79999999999995</v>
      </c>
      <c r="AO15" s="71"/>
      <c r="AP15" s="103">
        <f>AVERAGE(AQ11,AQ22)</f>
        <v>1436.6</v>
      </c>
      <c r="AQ15" s="71"/>
      <c r="AR15" s="103">
        <f>AVERAGE(AS11,AS22)</f>
        <v>1835.8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6" t="s">
        <v>227</v>
      </c>
      <c r="M16" s="36"/>
      <c r="N16" s="36"/>
      <c r="O16" s="36"/>
      <c r="P16" s="36"/>
      <c r="Q16" s="3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0" t="s">
        <v>108</v>
      </c>
      <c r="M17" s="50" t="s">
        <v>109</v>
      </c>
      <c r="N17" s="50" t="s">
        <v>110</v>
      </c>
      <c r="O17" s="51" t="s">
        <v>31</v>
      </c>
      <c r="P17" s="50" t="s">
        <v>30</v>
      </c>
      <c r="Q17" s="57"/>
      <c r="R17" s="24" t="s">
        <v>230</v>
      </c>
      <c r="S17" s="25" t="s">
        <v>16</v>
      </c>
      <c r="T17" s="26" t="s">
        <v>231</v>
      </c>
      <c r="U17" s="25" t="s">
        <v>16</v>
      </c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229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ht="15.75" x14ac:dyDescent="0.25">
      <c r="B18" s="12" t="s">
        <v>158</v>
      </c>
      <c r="C18" s="29" t="e">
        <f>B18/AVERAGE($Q7,$P7)</f>
        <v>#VALUE!</v>
      </c>
      <c r="D18" s="12" t="s">
        <v>158</v>
      </c>
      <c r="E18" s="29" t="e">
        <f>D18/AVERAGE($Q7,$P7)</f>
        <v>#VALUE!</v>
      </c>
      <c r="F18" s="12" t="s">
        <v>158</v>
      </c>
      <c r="G18" s="29" t="e">
        <f>F18/AVERAGE($Q7,$P7)</f>
        <v>#VALUE!</v>
      </c>
      <c r="H18" s="33"/>
      <c r="I18" s="12" t="e">
        <f>AVERAGE(F18,D18,B18)</f>
        <v>#DIV/0!</v>
      </c>
      <c r="J18" s="30" t="e">
        <f>STDEV(D18,F18)/I18</f>
        <v>#DIV/0!</v>
      </c>
      <c r="K18" s="1"/>
      <c r="L18" s="12" t="s">
        <v>159</v>
      </c>
      <c r="M18" s="12" t="s">
        <v>159</v>
      </c>
      <c r="N18" s="12" t="s">
        <v>158</v>
      </c>
      <c r="O18" s="53" t="e">
        <f>AVERAGE(I18,J18,K18,#REF!,L18,M18,N18,#REF!)</f>
        <v>#REF!</v>
      </c>
      <c r="P18" s="54" t="e">
        <f>ABS(I18-L18)/AVERAGE(L18,I18)</f>
        <v>#DIV/0!</v>
      </c>
      <c r="Q18" s="58"/>
      <c r="R18" s="12" t="s">
        <v>158</v>
      </c>
      <c r="S18" s="29" t="e">
        <f>R18/AVERAGE($Q7,$P7)</f>
        <v>#VALUE!</v>
      </c>
      <c r="T18" s="12" t="s">
        <v>158</v>
      </c>
      <c r="U18" s="29" t="e">
        <f>T18/AVERAGE($Q7,$P7)</f>
        <v>#VALUE!</v>
      </c>
      <c r="V18" s="16"/>
      <c r="W18" s="12" t="s">
        <v>158</v>
      </c>
      <c r="X18" s="29" t="e">
        <f>W18/AVERAGE($Q7,$P7)</f>
        <v>#VALUE!</v>
      </c>
      <c r="Y18" s="12" t="s">
        <v>158</v>
      </c>
      <c r="Z18" s="29" t="e">
        <f>Y18/AVERAGE($Q7,$P7)</f>
        <v>#VALUE!</v>
      </c>
      <c r="AA18" s="12" t="s">
        <v>159</v>
      </c>
      <c r="AB18" s="29" t="e">
        <f>AA18/AVERAGE($Q7,$P7)</f>
        <v>#VALUE!</v>
      </c>
      <c r="AC18" s="12" t="s">
        <v>158</v>
      </c>
      <c r="AD18" s="29" t="e">
        <f>AC18/AVERAGE($Q7,$P7)</f>
        <v>#VALUE!</v>
      </c>
      <c r="AE18" s="12" t="s">
        <v>158</v>
      </c>
      <c r="AF18" s="29" t="e">
        <f>AE18/AVERAGE($Q7,$P7)</f>
        <v>#VALUE!</v>
      </c>
      <c r="AG18" s="16"/>
      <c r="AH18" s="38"/>
      <c r="AI18" s="20"/>
      <c r="AJ18" s="12" t="s">
        <v>158</v>
      </c>
      <c r="AK18" s="29" t="e">
        <f>AJ18*10/AVERAGE($L$7,$M$7)</f>
        <v>#VALUE!</v>
      </c>
      <c r="AL18" s="12" t="s">
        <v>159</v>
      </c>
      <c r="AM18" s="29" t="e">
        <f>AL18*10/AVERAGE($L$7,$M$7)</f>
        <v>#VALUE!</v>
      </c>
      <c r="AN18" s="12" t="s">
        <v>158</v>
      </c>
      <c r="AO18" s="29" t="e">
        <f>AN18*10/AVERAGE($L$7,$M$7)</f>
        <v>#VALUE!</v>
      </c>
      <c r="AP18" s="12" t="s">
        <v>158</v>
      </c>
      <c r="AQ18" s="29" t="e">
        <f>AP18*10/AVERAGE($L$7,$M$7)</f>
        <v>#VALUE!</v>
      </c>
      <c r="AR18" s="12" t="s">
        <v>159</v>
      </c>
      <c r="AS18" s="29" t="e">
        <f>AR18*10/AVERAGE($L$7,$M$7)</f>
        <v>#VALUE!</v>
      </c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ht="15.75" x14ac:dyDescent="0.25">
      <c r="B19" s="12">
        <v>35.520000000000003</v>
      </c>
      <c r="C19" s="30">
        <f>B19/AVERAGE($Q8,$P8)</f>
        <v>0.86835350201686845</v>
      </c>
      <c r="D19" s="12">
        <v>35.33</v>
      </c>
      <c r="E19" s="30">
        <f>D19/AVERAGE($Q8,$P8)</f>
        <v>0.86370859308153036</v>
      </c>
      <c r="F19" s="12">
        <v>38.979999999999997</v>
      </c>
      <c r="G19" s="30">
        <f>F19/AVERAGE($Q8,$P8)</f>
        <v>0.95293973841828616</v>
      </c>
      <c r="H19" s="34"/>
      <c r="I19" s="12">
        <f>AVERAGE(F19,D19,B19)</f>
        <v>36.610000000000007</v>
      </c>
      <c r="J19" s="30">
        <f>STDEV(B19,F19)/I19</f>
        <v>6.6828447498100227E-2</v>
      </c>
      <c r="K19" s="11"/>
      <c r="L19" s="12">
        <v>37.979999999999997</v>
      </c>
      <c r="M19" s="12">
        <v>38.200000000000003</v>
      </c>
      <c r="N19" s="12">
        <v>37.5</v>
      </c>
      <c r="O19" s="141">
        <f>AVERAGE(L19,M19,N19)</f>
        <v>37.893333333333338</v>
      </c>
      <c r="P19" s="54">
        <f>ABS(I19-L19)/AVERAGE(O19)</f>
        <v>3.6154116819141192E-2</v>
      </c>
      <c r="Q19" s="58"/>
      <c r="R19" s="12">
        <v>42.2</v>
      </c>
      <c r="S19" s="30">
        <f>R19/O19</f>
        <v>1.1136523574947219</v>
      </c>
      <c r="T19" s="12">
        <v>48.29</v>
      </c>
      <c r="U19" s="30">
        <f>T19/L19</f>
        <v>1.2714586624539232</v>
      </c>
      <c r="V19" s="16"/>
      <c r="W19" s="12">
        <v>31.95</v>
      </c>
      <c r="X19" s="30">
        <f>W19/AVERAGE($Q8,$P8)</f>
        <v>0.78107810781078102</v>
      </c>
      <c r="Y19" s="12">
        <v>34.93</v>
      </c>
      <c r="Z19" s="30">
        <f>Y19/AVERAGE($Q8,$P8)</f>
        <v>0.85392983742818718</v>
      </c>
      <c r="AA19" s="12">
        <v>35.340000000000003</v>
      </c>
      <c r="AB19" s="30">
        <f>AA19/AVERAGE($Q8,$P8)</f>
        <v>0.86395306197286403</v>
      </c>
      <c r="AC19" s="12">
        <v>34</v>
      </c>
      <c r="AD19" s="30">
        <f>AC19/AVERAGE($Q8,$P8)</f>
        <v>0.83119423053416452</v>
      </c>
      <c r="AE19" s="12">
        <v>36.96</v>
      </c>
      <c r="AF19" s="30">
        <f>AE19/AVERAGE($Q8,$P8)</f>
        <v>0.90355702236890356</v>
      </c>
      <c r="AG19" s="16"/>
      <c r="AH19" s="23"/>
      <c r="AI19" s="20"/>
      <c r="AJ19" s="12" t="s">
        <v>158</v>
      </c>
      <c r="AK19" s="30" t="e">
        <f>AJ19/0.5*10/AVERAGE($L$8,$M$8)</f>
        <v>#VALUE!</v>
      </c>
      <c r="AL19" s="12" t="s">
        <v>159</v>
      </c>
      <c r="AM19" s="30" t="e">
        <f>AL19*10/AVERAGE($L$8,$M$8)</f>
        <v>#VALUE!</v>
      </c>
      <c r="AN19" s="12" t="s">
        <v>158</v>
      </c>
      <c r="AO19" s="30" t="e">
        <f>AN19*10/AVERAGE($L$8,$M$8)</f>
        <v>#VALUE!</v>
      </c>
      <c r="AP19" s="12" t="s">
        <v>158</v>
      </c>
      <c r="AQ19" s="30" t="e">
        <f>AP19/0.5*10/AVERAGE($L$8,$M$8)</f>
        <v>#VALUE!</v>
      </c>
      <c r="AR19" s="12" t="s">
        <v>159</v>
      </c>
      <c r="AS19" s="30" t="e">
        <f>AR19*20/AVERAGE($L$8,$M$8)</f>
        <v>#VALUE!</v>
      </c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ht="15.75" x14ac:dyDescent="0.25">
      <c r="A20" t="s">
        <v>0</v>
      </c>
      <c r="B20" s="12">
        <v>9.52</v>
      </c>
      <c r="C20" s="30">
        <f>B20/AVERAGE($Q9,$P9)</f>
        <v>0.78873239436619713</v>
      </c>
      <c r="D20" s="12">
        <v>9.4499999999999993</v>
      </c>
      <c r="E20" s="30">
        <f>D20/AVERAGE($Q9,$P9)</f>
        <v>0.78293289146644562</v>
      </c>
      <c r="F20" s="12">
        <v>9.51</v>
      </c>
      <c r="G20" s="30">
        <f>F20/AVERAGE($Q9,$P9)</f>
        <v>0.78790389395194693</v>
      </c>
      <c r="H20" s="34"/>
      <c r="I20" s="274">
        <f>AVERAGE(F20,D20,B20)</f>
        <v>9.4933333333333341</v>
      </c>
      <c r="J20" s="30">
        <f>STDEV(B20,F20)/I20</f>
        <v>7.4484562624985856E-4</v>
      </c>
      <c r="L20" s="12">
        <v>11.91</v>
      </c>
      <c r="M20" s="12">
        <v>12.77</v>
      </c>
      <c r="N20" s="12">
        <v>11.25</v>
      </c>
      <c r="O20" s="141">
        <f>AVERAGE(L20,M20,N20)</f>
        <v>11.976666666666667</v>
      </c>
      <c r="P20" s="54">
        <f>ABS(I20-L20)/AVERAGE(L20,I20)</f>
        <v>0.22582152312723866</v>
      </c>
      <c r="Q20" s="58"/>
      <c r="R20" s="12">
        <v>2.64</v>
      </c>
      <c r="S20" s="12">
        <v>2.64</v>
      </c>
      <c r="T20" s="12">
        <v>7.28</v>
      </c>
      <c r="U20" s="12">
        <v>7.28</v>
      </c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2.5499999999999998</v>
      </c>
      <c r="AK20" s="12">
        <f>AJ20/0.5*10</f>
        <v>51</v>
      </c>
      <c r="AL20" s="12">
        <v>10.07</v>
      </c>
      <c r="AM20" s="12">
        <f>AL20/0.5*10</f>
        <v>201.4</v>
      </c>
      <c r="AN20" s="12">
        <v>11.77</v>
      </c>
      <c r="AO20" s="12">
        <f>AN20/0.5*10</f>
        <v>235.39999999999998</v>
      </c>
      <c r="AP20" s="12">
        <v>31.71</v>
      </c>
      <c r="AQ20" s="12">
        <f>AP20/0.5*10</f>
        <v>634.20000000000005</v>
      </c>
      <c r="AR20" s="12">
        <v>16.489999999999998</v>
      </c>
      <c r="AS20" s="12">
        <f>AR20/0.5*20</f>
        <v>659.59999999999991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ht="15.75" x14ac:dyDescent="0.25">
      <c r="B21" s="12">
        <v>20.22</v>
      </c>
      <c r="C21" s="30">
        <f>B21/AVERAGE($Q10,$P10)</f>
        <v>0.82128350934199834</v>
      </c>
      <c r="D21" s="12">
        <v>17.3</v>
      </c>
      <c r="E21" s="30">
        <f>D21/AVERAGE($Q10,$P10)</f>
        <v>0.70268074735987007</v>
      </c>
      <c r="F21" s="12">
        <v>17.39</v>
      </c>
      <c r="G21" s="30">
        <f>F21/AVERAGE($Q10,$P10)</f>
        <v>0.70633631194151092</v>
      </c>
      <c r="H21" s="34"/>
      <c r="I21" s="274">
        <f>AVERAGE(F21,D21,B21)</f>
        <v>18.303333333333331</v>
      </c>
      <c r="J21" s="30">
        <f>STDEV(B21,F21)/I21</f>
        <v>0.10933047846064078</v>
      </c>
      <c r="L21" s="12">
        <v>24.21</v>
      </c>
      <c r="M21" s="12">
        <v>25.32</v>
      </c>
      <c r="N21" s="12">
        <v>22.56</v>
      </c>
      <c r="O21" s="53">
        <f>AVERAGE(L21,M21,N21)</f>
        <v>24.03</v>
      </c>
      <c r="P21" s="54">
        <f>ABS(I21-L21)/AVERAGE(L21,I21)</f>
        <v>0.27787360827975549</v>
      </c>
      <c r="Q21" s="58"/>
      <c r="R21" s="12">
        <v>3.46</v>
      </c>
      <c r="S21" s="12">
        <v>3.46</v>
      </c>
      <c r="T21" s="12">
        <v>9.1999999999999993</v>
      </c>
      <c r="U21" s="12">
        <v>9.1999999999999993</v>
      </c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1.47</v>
      </c>
      <c r="AK21" s="12">
        <f>AJ21/0.5*10</f>
        <v>29.4</v>
      </c>
      <c r="AL21" s="12">
        <v>6.72</v>
      </c>
      <c r="AM21" s="12">
        <f>AL21/0.5*10</f>
        <v>134.4</v>
      </c>
      <c r="AN21" s="12">
        <v>4.95</v>
      </c>
      <c r="AO21" s="12">
        <f>AN21/0.5*10</f>
        <v>99</v>
      </c>
      <c r="AP21" s="12">
        <v>26.75</v>
      </c>
      <c r="AQ21" s="12">
        <f>AP21/0.5*10</f>
        <v>535</v>
      </c>
      <c r="AR21" s="12">
        <v>17.809999999999999</v>
      </c>
      <c r="AS21" s="12">
        <f>AR21/0.5*20</f>
        <v>712.4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52">
        <f>SUM(B20,B21)</f>
        <v>29.74</v>
      </c>
      <c r="C22" s="30">
        <f>B22/AVERAGE($Q11,$P11)</f>
        <v>0.81057508857999461</v>
      </c>
      <c r="D22" s="52">
        <f>SUM(D20,D21)</f>
        <v>26.75</v>
      </c>
      <c r="E22" s="30">
        <f>D22/AVERAGE($Q11,$P11)</f>
        <v>0.72908149359498509</v>
      </c>
      <c r="F22" s="52">
        <f>SUM(F20,F21)</f>
        <v>26.9</v>
      </c>
      <c r="G22" s="30">
        <f>F22/AVERAGE($Q11,$P11)</f>
        <v>0.7331698010357045</v>
      </c>
      <c r="H22" s="34"/>
      <c r="I22" s="274">
        <f>AVERAGE(F22,D22,B22)</f>
        <v>27.796666666666667</v>
      </c>
      <c r="J22" s="30">
        <f>STDEV(B22,F22)/I22</f>
        <v>7.2245470388648328E-2</v>
      </c>
      <c r="L22" s="136">
        <f>SUM(L20,L21)</f>
        <v>36.120000000000005</v>
      </c>
      <c r="M22" s="136">
        <f>SUM(M20,M21)</f>
        <v>38.090000000000003</v>
      </c>
      <c r="N22" s="136">
        <f>SUM(N20,N21)</f>
        <v>33.81</v>
      </c>
      <c r="O22" s="141">
        <f>AVERAGE(L22,M22,N22)</f>
        <v>36.006666666666668</v>
      </c>
      <c r="P22" s="54">
        <f>ABS(I22-L22)/AVERAGE(L22,I22)</f>
        <v>0.26044328552803142</v>
      </c>
      <c r="Q22" s="58"/>
      <c r="R22" s="13">
        <f>SUM(R20,R21)</f>
        <v>6.1</v>
      </c>
      <c r="S22" s="13">
        <f>SUM(S20,S21)</f>
        <v>6.1</v>
      </c>
      <c r="T22" s="13">
        <f>SUM(T20,T21)</f>
        <v>16.48</v>
      </c>
      <c r="U22" s="13">
        <f>SUM(U20,U21)</f>
        <v>16.48</v>
      </c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2">
        <f>SUM(AJ20,AJ21)</f>
        <v>4.0199999999999996</v>
      </c>
      <c r="AK22" s="12">
        <f>AJ22/0.5*10</f>
        <v>80.399999999999991</v>
      </c>
      <c r="AL22" s="12">
        <f>SUM(AL20,AL21)</f>
        <v>16.79</v>
      </c>
      <c r="AM22" s="12">
        <f>AL22/0.5*10</f>
        <v>335.79999999999995</v>
      </c>
      <c r="AN22" s="13">
        <f>SUM(AN20,AN21)</f>
        <v>16.72</v>
      </c>
      <c r="AO22" s="12">
        <f>AN22/0.5*10</f>
        <v>334.4</v>
      </c>
      <c r="AP22" s="13">
        <f>SUM(AP20,AP21)</f>
        <v>58.46</v>
      </c>
      <c r="AQ22" s="12">
        <f>AP22/0.5*10</f>
        <v>1169.2</v>
      </c>
      <c r="AR22" s="13">
        <f>SUM(AR20,AR21)</f>
        <v>34.299999999999997</v>
      </c>
      <c r="AS22" s="12">
        <f>AR22/0.5*20</f>
        <v>1372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ht="15.75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55">
        <f>(L19+L22)/2</f>
        <v>37.049999999999997</v>
      </c>
      <c r="M23" s="275">
        <f>(M19+M22)/2</f>
        <v>38.145000000000003</v>
      </c>
      <c r="N23" s="275">
        <f>(N19+N22)/2</f>
        <v>35.655000000000001</v>
      </c>
      <c r="O23" s="55">
        <f>(O19+O22)/2</f>
        <v>36.950000000000003</v>
      </c>
      <c r="P23" s="55"/>
      <c r="Q23" s="37"/>
      <c r="R23" s="31"/>
      <c r="S23" s="69">
        <f>S22/R24</f>
        <v>0.61</v>
      </c>
      <c r="T23" s="31"/>
      <c r="U23" s="69">
        <f>U22/T24</f>
        <v>0.82400000000000007</v>
      </c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69">
        <f>AK22/AJ24</f>
        <v>0.16079999999999997</v>
      </c>
      <c r="AL23" s="31"/>
      <c r="AM23" s="69">
        <f>AM22/AL24</f>
        <v>0.33579999999999993</v>
      </c>
      <c r="AN23" s="31"/>
      <c r="AO23" s="69">
        <f>AO22/AN24</f>
        <v>0.16719999999999999</v>
      </c>
      <c r="AP23" s="31"/>
      <c r="AQ23" s="69">
        <f>AQ22/AP24</f>
        <v>0.38973333333333338</v>
      </c>
      <c r="AR23" s="31"/>
      <c r="AS23" s="69">
        <f>AS22/AR24</f>
        <v>0.34300000000000003</v>
      </c>
      <c r="AT23" s="2">
        <f>AVERAGE(AK23,AM23,AO23,AQ23,AS23)</f>
        <v>0.27930666666666665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ht="15.75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55">
        <v>40</v>
      </c>
      <c r="M24" s="55">
        <v>40</v>
      </c>
      <c r="N24" s="55">
        <v>40</v>
      </c>
      <c r="O24" s="55">
        <v>40</v>
      </c>
      <c r="P24" s="55"/>
      <c r="Q24" s="37"/>
      <c r="R24" s="32">
        <v>10</v>
      </c>
      <c r="S24" s="32"/>
      <c r="T24" s="32">
        <v>20</v>
      </c>
      <c r="U24" s="32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ht="15.75" x14ac:dyDescent="0.25">
      <c r="A25" t="s">
        <v>2</v>
      </c>
      <c r="B25" s="98">
        <f>ABS(B22-B24)/B24</f>
        <v>0.25650000000000006</v>
      </c>
      <c r="C25" s="33"/>
      <c r="D25" s="98">
        <f>ABS(D22-D24)/D24</f>
        <v>0.33124999999999999</v>
      </c>
      <c r="E25" s="34"/>
      <c r="F25" s="98">
        <f>ABS(F22-F24)/F24</f>
        <v>0.32750000000000001</v>
      </c>
      <c r="G25" s="34"/>
      <c r="H25" s="34"/>
      <c r="I25" s="34"/>
      <c r="J25" s="34"/>
      <c r="L25" s="30">
        <f>(L23-L24)/L24</f>
        <v>-7.3750000000000066E-2</v>
      </c>
      <c r="M25" s="30">
        <f>(M23-M24)/M24</f>
        <v>-4.6374999999999923E-2</v>
      </c>
      <c r="N25" s="30">
        <f>(N23-N24)/N24</f>
        <v>-0.10862499999999997</v>
      </c>
      <c r="O25" s="30">
        <f>(O23-O24)/O24</f>
        <v>-7.6249999999999929E-2</v>
      </c>
      <c r="P25" s="56"/>
      <c r="Q25" s="23"/>
      <c r="R25" s="30">
        <f>ABS(S22-R24)/R24</f>
        <v>0.39</v>
      </c>
      <c r="S25" s="33"/>
      <c r="T25" s="30">
        <f>ABS(U22-T24)/T24</f>
        <v>0.17599999999999999</v>
      </c>
      <c r="U25" s="34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30">
        <f>ABS(AK22-AJ24)/AJ24</f>
        <v>0.83920000000000006</v>
      </c>
      <c r="AK25" s="23"/>
      <c r="AL25" s="30">
        <f>ABS(AM22-AL24)/AL24</f>
        <v>0.66420000000000001</v>
      </c>
      <c r="AM25" s="38"/>
      <c r="AN25" s="30">
        <f>ABS(AO22-AN24)/AN24</f>
        <v>0.83279999999999998</v>
      </c>
      <c r="AO25" s="38"/>
      <c r="AP25" s="30">
        <f>ABS(AQ22-AP24)/AP24</f>
        <v>0.61026666666666662</v>
      </c>
      <c r="AQ25" s="38"/>
      <c r="AR25" s="30">
        <f>ABS(AS22-AR24)/AR24</f>
        <v>0.65700000000000003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M26" s="35"/>
      <c r="N26" s="35"/>
      <c r="T26" s="35"/>
      <c r="AN26" t="s">
        <v>225</v>
      </c>
      <c r="AX26" s="35"/>
      <c r="AY26" s="35"/>
      <c r="AZ26" s="35"/>
      <c r="BA26" s="35"/>
      <c r="BB26" s="35"/>
      <c r="BC26" s="35"/>
    </row>
    <row r="27" spans="1:132" x14ac:dyDescent="0.25"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V28" s="16"/>
      <c r="W28" s="17"/>
      <c r="X28" s="18"/>
      <c r="Y28" s="60"/>
      <c r="Z28" s="18"/>
      <c r="AA28" s="16"/>
      <c r="AB28" s="16"/>
      <c r="AC28" s="16"/>
      <c r="AD28" s="16"/>
      <c r="AE28" s="16"/>
      <c r="AF28" s="16"/>
      <c r="AG28" s="16"/>
    </row>
    <row r="29" spans="1:132" x14ac:dyDescent="0.25">
      <c r="A29" t="s">
        <v>3</v>
      </c>
      <c r="V29" s="16"/>
      <c r="W29" s="16"/>
      <c r="X29" s="23"/>
      <c r="Y29" s="16"/>
      <c r="Z29" s="23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38"/>
      <c r="Y30" s="16"/>
      <c r="Z30" s="38"/>
      <c r="AA30" s="16"/>
      <c r="AB30" s="16"/>
      <c r="AC30" s="16"/>
      <c r="AD30" s="16"/>
      <c r="AE30" s="16"/>
      <c r="AF30" s="16"/>
      <c r="AG30" s="16"/>
    </row>
    <row r="31" spans="1:132" x14ac:dyDescent="0.25">
      <c r="A31" t="s">
        <v>24</v>
      </c>
      <c r="V31" s="16"/>
      <c r="W31" s="16"/>
      <c r="X31" s="16"/>
      <c r="Y31" s="16"/>
      <c r="Z31" s="16"/>
      <c r="AA31" s="60"/>
      <c r="AB31" s="18"/>
      <c r="AC31" s="60"/>
      <c r="AD31" s="18"/>
      <c r="AE31" s="60"/>
      <c r="AF31" s="18"/>
      <c r="AG31" s="16"/>
    </row>
    <row r="32" spans="1:132" x14ac:dyDescent="0.25">
      <c r="A32" t="s">
        <v>25</v>
      </c>
      <c r="V32" s="16"/>
      <c r="W32" s="16"/>
      <c r="X32" s="16"/>
      <c r="Y32" s="16"/>
      <c r="Z32" s="16"/>
      <c r="AA32" s="16"/>
      <c r="AB32" s="23"/>
      <c r="AC32" s="16"/>
      <c r="AD32" s="23"/>
      <c r="AE32" s="16"/>
      <c r="AF32" s="23"/>
      <c r="AG32" s="16"/>
    </row>
    <row r="33" spans="1:33" x14ac:dyDescent="0.25">
      <c r="V33" s="16"/>
      <c r="W33" s="19"/>
      <c r="X33" s="19"/>
      <c r="Y33" s="19"/>
      <c r="Z33" s="19"/>
      <c r="AA33" s="16"/>
      <c r="AB33" s="38"/>
      <c r="AC33" s="16"/>
      <c r="AD33" s="23"/>
      <c r="AE33" s="16"/>
      <c r="AF33" s="23"/>
      <c r="AG33" s="16"/>
    </row>
    <row r="34" spans="1:33" x14ac:dyDescent="0.25">
      <c r="A34" t="s">
        <v>23</v>
      </c>
      <c r="V34" s="16"/>
      <c r="W34" s="21"/>
      <c r="X34" s="73"/>
      <c r="Y34" s="21"/>
      <c r="Z34" s="73"/>
      <c r="AA34" s="16"/>
      <c r="AB34" s="16"/>
      <c r="AC34" s="16"/>
      <c r="AD34" s="16"/>
      <c r="AE34" s="16"/>
      <c r="AF34" s="16"/>
      <c r="AG34" s="16"/>
    </row>
    <row r="35" spans="1:33" x14ac:dyDescent="0.25">
      <c r="A35" t="s">
        <v>18</v>
      </c>
      <c r="V35" s="16"/>
      <c r="W35" s="22"/>
      <c r="X35" s="22"/>
      <c r="Y35" s="22"/>
      <c r="Z35" s="22"/>
      <c r="AA35" s="16"/>
      <c r="AB35" s="16"/>
      <c r="AC35" s="16"/>
      <c r="AD35" s="16"/>
      <c r="AE35" s="16"/>
      <c r="AF35" s="16"/>
      <c r="AG35" s="16"/>
    </row>
    <row r="36" spans="1:33" x14ac:dyDescent="0.25">
      <c r="V36" s="16"/>
      <c r="W36" s="38"/>
      <c r="X36" s="23"/>
      <c r="Y36" s="38"/>
      <c r="Z36" s="38"/>
      <c r="AA36" s="19"/>
      <c r="AB36" s="16"/>
      <c r="AC36" s="19"/>
      <c r="AD36" s="16"/>
      <c r="AE36" s="19"/>
      <c r="AF36" s="16"/>
      <c r="AG36" s="16"/>
    </row>
    <row r="37" spans="1:33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1:33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33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</row>
    <row r="40" spans="1:33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33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</row>
    <row r="43" spans="1:33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</row>
    <row r="44" spans="1:33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</row>
    <row r="45" spans="1:33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</row>
    <row r="49" spans="22:33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</row>
    <row r="50" spans="22:33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  <ignoredErrors>
    <ignoredError sqref="AK11:AM11 AK22:AL22 AM22:AN22 AP22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59999389629810485"/>
  </sheetPr>
  <dimension ref="A1:T27"/>
  <sheetViews>
    <sheetView zoomScale="60" zoomScaleNormal="60" workbookViewId="0">
      <selection activeCell="G4" sqref="G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0.82</v>
      </c>
      <c r="C4" s="119">
        <v>0.86</v>
      </c>
      <c r="D4" s="119">
        <v>0.86</v>
      </c>
      <c r="E4" s="143">
        <v>0.74</v>
      </c>
      <c r="F4" s="123">
        <v>0.83</v>
      </c>
      <c r="G4" s="123">
        <v>0.83</v>
      </c>
      <c r="H4" s="122">
        <v>0.77</v>
      </c>
      <c r="I4" s="123">
        <v>0.77</v>
      </c>
      <c r="J4" s="126">
        <v>0.71</v>
      </c>
      <c r="K4" s="126">
        <v>0.71</v>
      </c>
      <c r="L4" s="126">
        <v>0.72</v>
      </c>
      <c r="M4" s="126">
        <v>0.86</v>
      </c>
      <c r="N4" s="126">
        <v>1</v>
      </c>
      <c r="O4" s="126">
        <v>0.74</v>
      </c>
      <c r="P4" s="126">
        <v>0.75</v>
      </c>
      <c r="Q4" s="126">
        <v>0.8</v>
      </c>
      <c r="R4" s="126">
        <v>0.73</v>
      </c>
      <c r="S4" s="126">
        <v>0.7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25">
      <c r="A10" s="116" t="s">
        <v>96</v>
      </c>
      <c r="B10" s="263" t="s">
        <v>352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2">
        <v>267.20000000000005</v>
      </c>
      <c r="L10" s="12">
        <v>529.80000000000007</v>
      </c>
      <c r="M10" s="12">
        <v>973.09999999999991</v>
      </c>
      <c r="N10" s="71">
        <v>1499.1</v>
      </c>
      <c r="O10" s="12">
        <v>2788.6</v>
      </c>
      <c r="P10" s="16"/>
      <c r="R10" s="16"/>
    </row>
    <row r="11" spans="1:20" ht="39" customHeight="1" x14ac:dyDescent="0.25">
      <c r="J11" s="81"/>
      <c r="K11" s="75">
        <v>500</v>
      </c>
      <c r="L11" s="75">
        <v>1000</v>
      </c>
      <c r="M11" s="75">
        <v>2000</v>
      </c>
      <c r="N11" s="264">
        <v>3000</v>
      </c>
      <c r="O11" s="265">
        <v>4000</v>
      </c>
      <c r="P11" s="85"/>
      <c r="Q11" s="85"/>
      <c r="R11" s="85"/>
    </row>
    <row r="12" spans="1:20" ht="0.75" customHeight="1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76.5" customHeight="1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59999389629810485"/>
  </sheetPr>
  <dimension ref="A2:GU50"/>
  <sheetViews>
    <sheetView topLeftCell="A2" zoomScale="70" zoomScaleNormal="70" zoomScaleSheetLayoutView="40" workbookViewId="0">
      <pane xSplit="1" topLeftCell="AH1" activePane="topRight" state="frozen"/>
      <selection pane="topRight" activeCell="R7" sqref="R7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7.5703125" customWidth="1"/>
    <col min="13" max="17" width="10.710937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204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s="102">
        <v>43902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1.7</v>
      </c>
      <c r="C7" s="29">
        <f>B7/AVERAGE($M7,$N7)</f>
        <v>4.2956411876184458E-2</v>
      </c>
      <c r="D7" s="12">
        <v>1.71</v>
      </c>
      <c r="E7" s="29">
        <f>D7/AVERAGE($M7,$N7)</f>
        <v>4.3209096651926716E-2</v>
      </c>
      <c r="F7" s="12">
        <v>1.69</v>
      </c>
      <c r="G7" s="29">
        <f>F7/AVERAGE($M7,$N7)</f>
        <v>4.2703727100442193E-2</v>
      </c>
      <c r="H7" s="33"/>
      <c r="I7" s="12">
        <f>AVERAGE(B7,D7,F7)</f>
        <v>1.7</v>
      </c>
      <c r="J7" s="30">
        <f>STDEV(B7,D7,F7)/I7</f>
        <v>5.8823529411764757E-3</v>
      </c>
      <c r="K7" s="19"/>
      <c r="L7" s="12">
        <v>39.89</v>
      </c>
      <c r="M7" s="12">
        <v>39.29</v>
      </c>
      <c r="N7" s="12">
        <v>39.86</v>
      </c>
      <c r="O7" s="12">
        <v>41.49</v>
      </c>
      <c r="P7" s="12">
        <v>40.78</v>
      </c>
      <c r="Q7" s="12">
        <v>40.11</v>
      </c>
      <c r="R7" s="141">
        <f>AVERAGE(L7:Q7)</f>
        <v>40.236666666666672</v>
      </c>
      <c r="S7" s="54">
        <f>ABS(L7-O7)/AVERAGE(O7,L7)</f>
        <v>3.9321700663553734E-2</v>
      </c>
      <c r="T7" s="38"/>
      <c r="U7" s="38"/>
      <c r="V7" s="16"/>
      <c r="W7" s="12">
        <v>1.77</v>
      </c>
      <c r="X7" s="29">
        <f>W7/AVERAGE($M7,$N7)</f>
        <v>4.4725205306380286E-2</v>
      </c>
      <c r="Y7" s="12">
        <v>1.63</v>
      </c>
      <c r="Z7" s="29">
        <f>Y7/AVERAGE($M7,$N7)</f>
        <v>4.1187618445988623E-2</v>
      </c>
      <c r="AA7" s="12">
        <v>1.63</v>
      </c>
      <c r="AB7" s="29">
        <f>AA7/AVERAGE($M7,$N7)</f>
        <v>4.1187618445988623E-2</v>
      </c>
      <c r="AC7" s="12">
        <v>1.85</v>
      </c>
      <c r="AD7" s="29">
        <f>AC7/AVERAGE($M7,$N7)</f>
        <v>4.6746683512318379E-2</v>
      </c>
      <c r="AE7" s="12">
        <v>1.78</v>
      </c>
      <c r="AF7" s="29">
        <f>AE7/AVERAGE($M7,$N7)</f>
        <v>4.4977890082122551E-2</v>
      </c>
      <c r="AG7" s="16"/>
      <c r="AH7" s="38"/>
      <c r="AI7" s="20"/>
      <c r="AJ7" s="12" t="s">
        <v>159</v>
      </c>
      <c r="AK7" s="29" t="e">
        <f>AJ7*10/AVERAGE($L7,$M7)</f>
        <v>#VALUE!</v>
      </c>
      <c r="AL7" s="12" t="s">
        <v>159</v>
      </c>
      <c r="AM7" s="29" t="e">
        <f>AL7*10/AVERAGE($L7,$M7)</f>
        <v>#VALUE!</v>
      </c>
      <c r="AN7" s="12" t="s">
        <v>158</v>
      </c>
      <c r="AO7" s="29" t="e">
        <f>AN7*10/AVERAGE($L7,$M7)</f>
        <v>#VALUE!</v>
      </c>
      <c r="AP7" s="12" t="s">
        <v>159</v>
      </c>
      <c r="AQ7" s="29" t="e">
        <f>AP7*10/AVERAGE($L7,$M7)</f>
        <v>#VALUE!</v>
      </c>
      <c r="AR7" s="12" t="s">
        <v>159</v>
      </c>
      <c r="AS7" s="29" t="e">
        <f>AR7*20/AVERAGE($L7,$M7)</f>
        <v>#VALUE!</v>
      </c>
      <c r="AT7" s="43"/>
      <c r="AU7" s="12">
        <v>1.68</v>
      </c>
      <c r="AV7" s="29">
        <f>AU7/AVERAGE($L7,$M7)</f>
        <v>4.2434958322808781E-2</v>
      </c>
      <c r="AW7" s="12">
        <v>1.67</v>
      </c>
      <c r="AX7" s="29">
        <f>AW7/AVERAGE($L7,$M7)</f>
        <v>4.2182369285173021E-2</v>
      </c>
      <c r="AY7" s="12">
        <v>1.68</v>
      </c>
      <c r="AZ7" s="29">
        <f>AY7/AVERAGE($L7,$M7)</f>
        <v>4.2434958322808781E-2</v>
      </c>
      <c r="BA7" s="12">
        <v>1.78</v>
      </c>
      <c r="BB7" s="29">
        <f>BA7/AVERAGE($L7,$M7)</f>
        <v>4.4960848699166452E-2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32.33</v>
      </c>
      <c r="C8" s="30">
        <f>B8/AVERAGE($M8,$N8)</f>
        <v>0.82076669205382069</v>
      </c>
      <c r="D8" s="12">
        <v>33.770000000000003</v>
      </c>
      <c r="E8" s="30">
        <f>D8/AVERAGE($M8,$N8)</f>
        <v>0.85732419395785742</v>
      </c>
      <c r="F8" s="12">
        <v>33.94</v>
      </c>
      <c r="G8" s="30">
        <f>F8/AVERAGE($M8,$N8)</f>
        <v>0.86164001015486158</v>
      </c>
      <c r="H8" s="34"/>
      <c r="I8" s="274">
        <f>AVERAGE(B8,D8,F8)</f>
        <v>33.346666666666664</v>
      </c>
      <c r="J8" s="30">
        <f>STDEV(B8,D8,F8)/I8</f>
        <v>2.6525968141257711E-2</v>
      </c>
      <c r="K8" s="19"/>
      <c r="L8" s="12">
        <v>39.29</v>
      </c>
      <c r="M8" s="12">
        <v>39.159999999999997</v>
      </c>
      <c r="N8" s="12">
        <v>39.619999999999997</v>
      </c>
      <c r="O8" s="12">
        <v>40.159999999999997</v>
      </c>
      <c r="P8" s="12">
        <v>40.42</v>
      </c>
      <c r="Q8" s="12">
        <v>39.33</v>
      </c>
      <c r="R8" s="141">
        <f>AVERAGE(L8:Q8)</f>
        <v>39.663333333333327</v>
      </c>
      <c r="S8" s="54">
        <f>ABS(L8-O8)/AVERAGE(O8,L8)</f>
        <v>2.1900566393958404E-2</v>
      </c>
      <c r="T8" s="38"/>
      <c r="U8" s="38"/>
      <c r="V8" s="16"/>
      <c r="W8" s="12">
        <v>28.02</v>
      </c>
      <c r="X8" s="30">
        <f>W8/AVERAGE($M8,$N8)</f>
        <v>0.71134805788271138</v>
      </c>
      <c r="Y8" s="12">
        <v>28.08</v>
      </c>
      <c r="Z8" s="30">
        <f>Y8/AVERAGE($M8,$N8)</f>
        <v>0.71287128712871284</v>
      </c>
      <c r="AA8" s="12">
        <v>28.35</v>
      </c>
      <c r="AB8" s="30">
        <f>AA8/AVERAGE($M8,$N8)</f>
        <v>0.71972581873571972</v>
      </c>
      <c r="AC8" s="12">
        <v>33.72</v>
      </c>
      <c r="AD8" s="30">
        <f>AC8/AVERAGE($M8,$N8)</f>
        <v>0.85605483625285606</v>
      </c>
      <c r="AE8" s="12">
        <v>39.32</v>
      </c>
      <c r="AF8" s="30">
        <f>AE8/AVERAGE($M8,$N8)</f>
        <v>0.99822289921299823</v>
      </c>
      <c r="AG8" s="16"/>
      <c r="AH8" s="23"/>
      <c r="AI8" s="20"/>
      <c r="AJ8" s="12" t="s">
        <v>159</v>
      </c>
      <c r="AK8" s="30" t="e">
        <f>AJ8*10/AVERAGE($L8,$M8)</f>
        <v>#VALUE!</v>
      </c>
      <c r="AL8" s="12" t="s">
        <v>159</v>
      </c>
      <c r="AM8" s="30" t="e">
        <f>AL8*10/AVERAGE($L8,$M8)</f>
        <v>#VALUE!</v>
      </c>
      <c r="AN8" s="12" t="s">
        <v>158</v>
      </c>
      <c r="AO8" s="30" t="e">
        <f>AN8*10/AVERAGE($L8,$M8)</f>
        <v>#VALUE!</v>
      </c>
      <c r="AP8" s="12" t="s">
        <v>159</v>
      </c>
      <c r="AQ8" s="30" t="e">
        <f>AP8*10/AVERAGE($L8,$M8)</f>
        <v>#VALUE!</v>
      </c>
      <c r="AR8" s="12" t="s">
        <v>159</v>
      </c>
      <c r="AS8" s="30" t="e">
        <f>AR8*20/AVERAGE($L8,$M8)</f>
        <v>#VALUE!</v>
      </c>
      <c r="AT8" s="43"/>
      <c r="AU8" s="12">
        <v>30.2</v>
      </c>
      <c r="AV8" s="30">
        <f>AU8/AVERAGE($L8,$M8)</f>
        <v>0.76991714467813899</v>
      </c>
      <c r="AW8" s="12">
        <v>31.16</v>
      </c>
      <c r="AX8" s="30">
        <f>AW8/AVERAGE($L8,$M8)</f>
        <v>0.79439133205863621</v>
      </c>
      <c r="AY8" s="12">
        <v>31.39</v>
      </c>
      <c r="AZ8" s="30">
        <f>AY8/AVERAGE($L8,$M8)</f>
        <v>0.80025493945188031</v>
      </c>
      <c r="BA8" s="12">
        <v>30.84</v>
      </c>
      <c r="BB8" s="30">
        <f>BA8/AVERAGE($O8,$P8)</f>
        <v>0.76545048399106475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9.25</v>
      </c>
      <c r="C9" s="30">
        <f>B9/AVERAGE($M9,$N9)</f>
        <v>0.7727652464494571</v>
      </c>
      <c r="D9" s="12">
        <v>9.82</v>
      </c>
      <c r="E9" s="30">
        <f>D9/AVERAGE($M9,$N9)</f>
        <v>0.82038429406850466</v>
      </c>
      <c r="F9" s="12">
        <v>10.72</v>
      </c>
      <c r="G9" s="30">
        <f>F9/AVERAGE($M9,$N9)</f>
        <v>0.8955722639933168</v>
      </c>
      <c r="H9" s="34"/>
      <c r="I9" s="12">
        <f>AVERAGE(B9,D9,F9)</f>
        <v>9.93</v>
      </c>
      <c r="J9" s="30">
        <f>STDEV(B9,D9,F9)/I9</f>
        <v>7.4637236510323418E-2</v>
      </c>
      <c r="K9" s="16"/>
      <c r="L9" s="12">
        <v>12.49</v>
      </c>
      <c r="M9" s="12">
        <v>12.75</v>
      </c>
      <c r="N9" s="12">
        <v>11.19</v>
      </c>
      <c r="O9" s="12">
        <v>12.4</v>
      </c>
      <c r="P9" s="12">
        <v>12</v>
      </c>
      <c r="Q9" s="12">
        <v>12.26</v>
      </c>
      <c r="R9" s="141">
        <f>AVERAGE(L9:Q9)</f>
        <v>12.181666666666667</v>
      </c>
      <c r="S9" s="54">
        <f>ABS(L9-O9)/AVERAGE(O9,L9)</f>
        <v>7.231820008035344E-3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4.47</v>
      </c>
      <c r="AK9" s="12">
        <f>AJ9/0.5*10</f>
        <v>89.399999999999991</v>
      </c>
      <c r="AL9" s="12">
        <v>9.5</v>
      </c>
      <c r="AM9" s="12">
        <f>AL9/0.5*10</f>
        <v>190</v>
      </c>
      <c r="AN9" s="12">
        <v>17.489999999999998</v>
      </c>
      <c r="AO9" s="12">
        <f>AN9/0.5*10</f>
        <v>349.79999999999995</v>
      </c>
      <c r="AP9" s="12">
        <v>28.07</v>
      </c>
      <c r="AQ9" s="12">
        <f>AP9/0.5*10</f>
        <v>561.4</v>
      </c>
      <c r="AR9" s="12">
        <v>24.94</v>
      </c>
      <c r="AS9" s="12">
        <f>AR9/0.5*20</f>
        <v>997.6</v>
      </c>
      <c r="AT9" s="45"/>
      <c r="AU9" s="12" t="s">
        <v>158</v>
      </c>
      <c r="AV9" s="12"/>
      <c r="AW9" s="12" t="s">
        <v>159</v>
      </c>
      <c r="AX9" s="12"/>
      <c r="AY9" s="12" t="s">
        <v>159</v>
      </c>
      <c r="AZ9" s="12"/>
      <c r="BA9" s="12">
        <v>0.69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17.940000000000001</v>
      </c>
      <c r="C10" s="30">
        <f>B10/AVERAGE($M10,$N10)</f>
        <v>0.73344235486508591</v>
      </c>
      <c r="D10" s="12">
        <v>19.07</v>
      </c>
      <c r="E10" s="30">
        <f>D10/AVERAGE($M10,$N10)</f>
        <v>0.77964022894521667</v>
      </c>
      <c r="F10" s="12">
        <v>21.45</v>
      </c>
      <c r="G10" s="30">
        <f>F10/AVERAGE($M10,$N10)</f>
        <v>0.87694194603434172</v>
      </c>
      <c r="H10" s="34"/>
      <c r="I10" s="274">
        <f>AVERAGE(B10,D10,F10)</f>
        <v>19.486666666666668</v>
      </c>
      <c r="J10" s="30">
        <f>STDEV(B10,D10,F10)/I10</f>
        <v>9.1945556064849041E-2</v>
      </c>
      <c r="K10" s="16"/>
      <c r="L10" s="12">
        <v>25.95</v>
      </c>
      <c r="M10" s="12">
        <v>25.09</v>
      </c>
      <c r="N10" s="12">
        <v>23.83</v>
      </c>
      <c r="O10" s="12">
        <v>26.55</v>
      </c>
      <c r="P10" s="12">
        <v>25.9</v>
      </c>
      <c r="Q10" s="12">
        <v>26</v>
      </c>
      <c r="R10" s="141">
        <f>AVERAGE(L10:Q10)</f>
        <v>25.553333333333331</v>
      </c>
      <c r="S10" s="54">
        <f>ABS(L10-O10)/AVERAGE(O10,L10)</f>
        <v>2.2857142857142913E-2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8.9</v>
      </c>
      <c r="AK10" s="12">
        <f>AJ10/0.5*10</f>
        <v>178</v>
      </c>
      <c r="AL10" s="12">
        <v>18.670000000000002</v>
      </c>
      <c r="AM10" s="12">
        <f>AL10/0.5*10</f>
        <v>373.40000000000003</v>
      </c>
      <c r="AN10" s="12">
        <v>35.17</v>
      </c>
      <c r="AO10" s="12">
        <f>AN10/0.5*10</f>
        <v>703.40000000000009</v>
      </c>
      <c r="AP10" s="12">
        <v>56.72</v>
      </c>
      <c r="AQ10" s="12">
        <f>AP10/0.5*10</f>
        <v>1134.4000000000001</v>
      </c>
      <c r="AR10" s="12">
        <v>49.17</v>
      </c>
      <c r="AS10" s="12">
        <f>AR10/0.5*20</f>
        <v>1966.8000000000002</v>
      </c>
      <c r="AT10" s="45"/>
      <c r="AU10" s="12">
        <v>1.06</v>
      </c>
      <c r="AV10" s="12"/>
      <c r="AW10" s="12">
        <v>2.83</v>
      </c>
      <c r="AX10" s="12"/>
      <c r="AY10" s="12">
        <v>2.2400000000000002</v>
      </c>
      <c r="AZ10" s="12"/>
      <c r="BA10" s="12">
        <v>1.75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27.19</v>
      </c>
      <c r="C11" s="30">
        <f>B11/AVERAGE($M11,$N11)</f>
        <v>0.74636288772989301</v>
      </c>
      <c r="D11" s="52">
        <f>SUM(D$10+D$9)</f>
        <v>28.89</v>
      </c>
      <c r="E11" s="30">
        <f>D11/AVERAGE($M11,$N11)</f>
        <v>0.79302772440296465</v>
      </c>
      <c r="F11" s="52">
        <f>SUM(F$10+F$9)</f>
        <v>32.17</v>
      </c>
      <c r="G11" s="30">
        <f>F11/AVERAGE($M11,$N11)</f>
        <v>0.88306340927806759</v>
      </c>
      <c r="H11" s="34"/>
      <c r="I11" s="12">
        <f>AVERAGE(B11,D11)</f>
        <v>28.04</v>
      </c>
      <c r="J11" s="30">
        <f>STDEV(B11,D11,F11)/I11</f>
        <v>9.0279212157259245E-2</v>
      </c>
      <c r="K11" s="19"/>
      <c r="L11" s="136">
        <f t="shared" ref="L11:Q11" si="0">SUM(L9,L10)</f>
        <v>38.44</v>
      </c>
      <c r="M11" s="136">
        <f t="shared" si="0"/>
        <v>37.840000000000003</v>
      </c>
      <c r="N11" s="136">
        <f t="shared" si="0"/>
        <v>35.019999999999996</v>
      </c>
      <c r="O11" s="52">
        <f t="shared" si="0"/>
        <v>38.950000000000003</v>
      </c>
      <c r="P11" s="52">
        <f t="shared" si="0"/>
        <v>37.9</v>
      </c>
      <c r="Q11" s="52">
        <f t="shared" si="0"/>
        <v>38.26</v>
      </c>
      <c r="R11" s="141">
        <f>AVERAGE(L11:Q11)</f>
        <v>37.734999999999999</v>
      </c>
      <c r="S11" s="54">
        <f>ABS(L11-O11)/AVERAGE(O11,L11)</f>
        <v>1.3179997415686913E-2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2">
        <f>SUM(AJ9,AJ10)</f>
        <v>13.370000000000001</v>
      </c>
      <c r="AK11" s="12">
        <f>AJ11/0.5*10</f>
        <v>267.40000000000003</v>
      </c>
      <c r="AL11" s="12">
        <f>SUM(AL9,AL10)</f>
        <v>28.17</v>
      </c>
      <c r="AM11" s="12">
        <f>AL11/0.5*10</f>
        <v>563.40000000000009</v>
      </c>
      <c r="AN11" s="12">
        <f>SUM(AN9,AN10)</f>
        <v>52.66</v>
      </c>
      <c r="AO11" s="12">
        <f>AN11/0.5*10</f>
        <v>1053.1999999999998</v>
      </c>
      <c r="AP11" s="13">
        <f>SUM(AP9,AP10)</f>
        <v>84.789999999999992</v>
      </c>
      <c r="AQ11" s="12">
        <f>AP11/0.5*10</f>
        <v>1695.7999999999997</v>
      </c>
      <c r="AR11" s="13">
        <f>SUM(AR9,AR10)</f>
        <v>74.11</v>
      </c>
      <c r="AS11" s="12">
        <f>AR11/0.5*20</f>
        <v>2964.4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 t="shared" ref="L12:R12" si="1">(L7+L8+L11)/3</f>
        <v>39.206666666666671</v>
      </c>
      <c r="M12" s="275">
        <f t="shared" si="1"/>
        <v>38.763333333333328</v>
      </c>
      <c r="N12" s="275">
        <f t="shared" si="1"/>
        <v>38.166666666666664</v>
      </c>
      <c r="O12" s="55">
        <f t="shared" si="1"/>
        <v>40.200000000000003</v>
      </c>
      <c r="P12" s="55">
        <f t="shared" si="1"/>
        <v>39.699999999999996</v>
      </c>
      <c r="Q12" s="275">
        <f t="shared" si="1"/>
        <v>39.233333333333327</v>
      </c>
      <c r="R12" s="275">
        <f t="shared" si="1"/>
        <v>39.211666666666666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137"/>
      <c r="AK12" s="69">
        <f>AK11/AJ13</f>
        <v>0.53480000000000005</v>
      </c>
      <c r="AL12" s="31"/>
      <c r="AM12" s="69">
        <f>AM11/AL13</f>
        <v>0.56340000000000012</v>
      </c>
      <c r="AN12" s="31"/>
      <c r="AO12" s="69">
        <f>AO11/AN13</f>
        <v>0.52659999999999996</v>
      </c>
      <c r="AP12" s="31"/>
      <c r="AQ12" s="69">
        <f>AQ11/AP13</f>
        <v>0.56526666666666658</v>
      </c>
      <c r="AR12" s="31"/>
      <c r="AS12" s="69">
        <f>AS11/AR13</f>
        <v>0.74109999999999998</v>
      </c>
      <c r="AT12" s="2">
        <f>AVERAGE(AK12,AM12,AO12,AQ12,AS12)</f>
        <v>0.58623333333333327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98">
        <f>ABS(B11-B13)/B13</f>
        <v>0.32024999999999998</v>
      </c>
      <c r="C14" s="33"/>
      <c r="D14" s="98">
        <f>ABS(D11-D13)/D13</f>
        <v>0.27775</v>
      </c>
      <c r="E14" s="34"/>
      <c r="F14" s="30">
        <f>ABS(F11-F13)/F13</f>
        <v>0.19574999999999995</v>
      </c>
      <c r="G14" s="34"/>
      <c r="H14" s="34"/>
      <c r="I14" s="34"/>
      <c r="J14" s="34"/>
      <c r="K14" s="38"/>
      <c r="L14" s="30">
        <f t="shared" ref="L14:R14" si="2">(L12-L13)/L13</f>
        <v>-1.9833333333333238E-2</v>
      </c>
      <c r="M14" s="30">
        <f t="shared" si="2"/>
        <v>-3.0916666666666794E-2</v>
      </c>
      <c r="N14" s="30">
        <f t="shared" si="2"/>
        <v>-4.5833333333333393E-2</v>
      </c>
      <c r="O14" s="30">
        <f t="shared" si="2"/>
        <v>5.0000000000000712E-3</v>
      </c>
      <c r="P14" s="30">
        <f t="shared" si="2"/>
        <v>-7.5000000000001064E-3</v>
      </c>
      <c r="Q14" s="30">
        <f t="shared" si="2"/>
        <v>-1.9166666666666821E-2</v>
      </c>
      <c r="R14" s="30">
        <f t="shared" si="2"/>
        <v>-1.9708333333333349E-2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72">
        <f>ABS(AK11-AJ13)/AJ13</f>
        <v>0.46519999999999995</v>
      </c>
      <c r="AK14" s="61"/>
      <c r="AL14" s="72">
        <f>ABS(AM11-AL13)/AL13</f>
        <v>0.43659999999999993</v>
      </c>
      <c r="AM14" s="62"/>
      <c r="AN14" s="72">
        <f>ABS(AO11-AN13)/AN13</f>
        <v>0.4734000000000001</v>
      </c>
      <c r="AO14" s="62"/>
      <c r="AP14" s="72">
        <f>ABS(AQ11-AP13)/AP13</f>
        <v>0.43473333333333342</v>
      </c>
      <c r="AQ14" s="62"/>
      <c r="AR14" s="72">
        <f>ABS(AS11-AR13)/AR13</f>
        <v>0.25889999999999996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0.72645772800091679</v>
      </c>
      <c r="X15" s="71"/>
      <c r="Y15" s="30">
        <f>AVERAGE(Z8,Z19)</f>
        <v>0.73198423290604919</v>
      </c>
      <c r="Z15" s="71"/>
      <c r="AA15" s="30">
        <f>AVERAGE(AB8,AB19)</f>
        <v>0.75973751751833007</v>
      </c>
      <c r="AB15" s="71"/>
      <c r="AC15" s="30">
        <f>AVERAGE(AD8,AD19)</f>
        <v>0.7911622143646726</v>
      </c>
      <c r="AD15" s="71"/>
      <c r="AE15" s="30">
        <f>AVERAGE(AF8,AF19)</f>
        <v>0.85071019568800388</v>
      </c>
      <c r="AF15" s="16"/>
      <c r="AG15" s="16"/>
      <c r="AH15" s="16"/>
      <c r="AI15" s="142" t="s">
        <v>129</v>
      </c>
      <c r="AJ15" s="103">
        <f>AVERAGE(AK11,AK22)</f>
        <v>267.20000000000005</v>
      </c>
      <c r="AK15" s="71"/>
      <c r="AL15" s="103">
        <f>AVERAGE(AM11,AM22)</f>
        <v>529.80000000000007</v>
      </c>
      <c r="AM15" s="71"/>
      <c r="AN15" s="103">
        <f>AVERAGE(AO22,AO11)</f>
        <v>973.09999999999991</v>
      </c>
      <c r="AO15" s="71"/>
      <c r="AP15" s="103">
        <f>AVERAGE(AQ11,AQ22)</f>
        <v>1499.1</v>
      </c>
      <c r="AQ15" s="71"/>
      <c r="AR15" s="103">
        <f>AVERAGE(AS11,AS22)</f>
        <v>2788.6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6"/>
      <c r="M16" s="36"/>
      <c r="N16" s="36"/>
      <c r="O16" s="36"/>
      <c r="P16" s="36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35"/>
      <c r="M17" s="57"/>
      <c r="N17" s="57"/>
      <c r="O17" s="57"/>
      <c r="P17" s="57"/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>
        <v>1.74</v>
      </c>
      <c r="C18" s="29">
        <f>B18/AVERAGE($Q7,$P7)</f>
        <v>4.3021387068858941E-2</v>
      </c>
      <c r="D18" s="12">
        <v>1.74</v>
      </c>
      <c r="E18" s="29">
        <f>D18/AVERAGE($Q7,$P7)</f>
        <v>4.3021387068858941E-2</v>
      </c>
      <c r="F18" s="12">
        <v>1.72</v>
      </c>
      <c r="G18" s="29">
        <f>F18/AVERAGE($Q7,$P7)</f>
        <v>4.2526888366918036E-2</v>
      </c>
      <c r="H18" s="33"/>
      <c r="I18" s="274">
        <f>AVERAGE(F18,D18,B18)</f>
        <v>1.7333333333333334</v>
      </c>
      <c r="J18" s="30">
        <f>STDEV(D18,F18)/I18</f>
        <v>8.1589243983063251E-3</v>
      </c>
      <c r="K18" s="1"/>
      <c r="L18" s="35"/>
      <c r="M18" s="35"/>
      <c r="N18" s="35"/>
      <c r="O18" s="58"/>
      <c r="P18" s="58"/>
      <c r="Q18" s="1"/>
      <c r="S18" s="38"/>
      <c r="T18" s="38"/>
      <c r="U18" s="38"/>
      <c r="V18" s="16"/>
      <c r="W18" s="12">
        <v>1.7</v>
      </c>
      <c r="X18" s="29">
        <f>W18/AVERAGE($Q7,$P7)</f>
        <v>4.2032389664977125E-2</v>
      </c>
      <c r="Y18" s="12">
        <v>1.93</v>
      </c>
      <c r="Z18" s="29">
        <f>Y18/AVERAGE($Q7,$P7)</f>
        <v>4.7719124737297565E-2</v>
      </c>
      <c r="AA18" s="12">
        <v>1.8</v>
      </c>
      <c r="AB18" s="29">
        <f>AA18/AVERAGE($Q7,$P7)</f>
        <v>4.4504883174681667E-2</v>
      </c>
      <c r="AC18" s="12">
        <v>1.91</v>
      </c>
      <c r="AD18" s="29">
        <f>AC18/AVERAGE($Q7,$P7)</f>
        <v>4.7224626035356654E-2</v>
      </c>
      <c r="AE18" s="12">
        <v>1.81</v>
      </c>
      <c r="AF18" s="29">
        <f>AE18/AVERAGE($Q7,$P7)</f>
        <v>4.4752132525652119E-2</v>
      </c>
      <c r="AG18" s="16"/>
      <c r="AH18" s="38"/>
      <c r="AI18" s="20"/>
      <c r="AJ18" s="12" t="s">
        <v>159</v>
      </c>
      <c r="AK18" s="29" t="e">
        <f>AJ18*10/AVERAGE($L$7,$M$7)</f>
        <v>#VALUE!</v>
      </c>
      <c r="AL18" s="12" t="s">
        <v>158</v>
      </c>
      <c r="AM18" s="29" t="e">
        <f>AL18*10/AVERAGE($L$7,$M$7)</f>
        <v>#VALUE!</v>
      </c>
      <c r="AN18" s="12" t="s">
        <v>158</v>
      </c>
      <c r="AO18" s="29" t="e">
        <f>AN18*10/AVERAGE($L$7,$M$7)</f>
        <v>#VALUE!</v>
      </c>
      <c r="AP18" s="12" t="s">
        <v>159</v>
      </c>
      <c r="AQ18" s="29" t="e">
        <f>AP18*10/AVERAGE($L$7,$M$7)</f>
        <v>#VALUE!</v>
      </c>
      <c r="AR18" s="12" t="s">
        <v>159</v>
      </c>
      <c r="AS18" s="29" t="e">
        <f>AR18*10/AVERAGE($L$7,$M$7)</f>
        <v>#VALUE!</v>
      </c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29.7</v>
      </c>
      <c r="C19" s="30">
        <f>B19/AVERAGE($Q8,$P8)</f>
        <v>0.74482758620689649</v>
      </c>
      <c r="D19" s="12">
        <v>33.049999999999997</v>
      </c>
      <c r="E19" s="30">
        <f>D19/AVERAGE($Q8,$P8)</f>
        <v>0.82884012539184948</v>
      </c>
      <c r="F19" s="12">
        <v>33.26</v>
      </c>
      <c r="G19" s="30">
        <f>F19/AVERAGE($Q8,$P8)</f>
        <v>0.83410658307210028</v>
      </c>
      <c r="H19" s="34"/>
      <c r="I19" s="274">
        <f>AVERAGE(F19,D19,B19)</f>
        <v>32.003333333333337</v>
      </c>
      <c r="J19" s="30">
        <f>STDEV(D19,F19)/I19</f>
        <v>4.6399049281067254E-3</v>
      </c>
      <c r="K19" s="11"/>
      <c r="L19" s="35"/>
      <c r="M19" s="35"/>
      <c r="N19" s="35"/>
      <c r="O19" s="58"/>
      <c r="P19" s="58"/>
      <c r="S19" s="38"/>
      <c r="T19" s="38"/>
      <c r="U19" s="38"/>
      <c r="V19" s="16"/>
      <c r="W19" s="12">
        <v>29.57</v>
      </c>
      <c r="X19" s="30">
        <f>W19/AVERAGE($Q8,$P8)</f>
        <v>0.74156739811912231</v>
      </c>
      <c r="Y19" s="12">
        <v>29.95</v>
      </c>
      <c r="Z19" s="30">
        <f>Y19/AVERAGE($Q8,$P8)</f>
        <v>0.75109717868338555</v>
      </c>
      <c r="AA19" s="12">
        <v>31.89</v>
      </c>
      <c r="AB19" s="30">
        <f>AA19/AVERAGE($Q8,$P8)</f>
        <v>0.79974921630094042</v>
      </c>
      <c r="AC19" s="12">
        <v>28.96</v>
      </c>
      <c r="AD19" s="30">
        <f>AC19/AVERAGE($Q8,$P8)</f>
        <v>0.72626959247648903</v>
      </c>
      <c r="AE19" s="12">
        <v>28.04</v>
      </c>
      <c r="AF19" s="30">
        <f>AE19/AVERAGE($Q8,$P8)</f>
        <v>0.70319749216300942</v>
      </c>
      <c r="AG19" s="16"/>
      <c r="AH19" s="23"/>
      <c r="AI19" s="20"/>
      <c r="AJ19" s="12" t="s">
        <v>159</v>
      </c>
      <c r="AK19" s="30" t="e">
        <f>AJ19*10/AVERAGE($L$8,$M$8)</f>
        <v>#VALUE!</v>
      </c>
      <c r="AL19" s="12" t="s">
        <v>158</v>
      </c>
      <c r="AM19" s="30" t="e">
        <f>AL19*10/AVERAGE($L$8,$M$8)</f>
        <v>#VALUE!</v>
      </c>
      <c r="AN19" s="12" t="s">
        <v>158</v>
      </c>
      <c r="AO19" s="30" t="e">
        <f>AN19*10/AVERAGE($L$8,$M$8)</f>
        <v>#VALUE!</v>
      </c>
      <c r="AP19" s="12" t="s">
        <v>159</v>
      </c>
      <c r="AQ19" s="30" t="e">
        <f>AP19*10/AVERAGE($L$8,$M$8)</f>
        <v>#VALUE!</v>
      </c>
      <c r="AR19" s="12" t="s">
        <v>159</v>
      </c>
      <c r="AS19" s="30" t="e">
        <f>AR19*20/AVERAGE($L$8,$M$8)</f>
        <v>#VALUE!</v>
      </c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10.039999999999999</v>
      </c>
      <c r="C20" s="30">
        <f>B20/AVERAGE($Q9,$P9)</f>
        <v>0.82769991755976913</v>
      </c>
      <c r="D20" s="12">
        <v>9.61</v>
      </c>
      <c r="E20" s="30">
        <f>D20/AVERAGE($Q9,$P9)</f>
        <v>0.79225061830173127</v>
      </c>
      <c r="F20" s="12">
        <v>11.26</v>
      </c>
      <c r="G20" s="30">
        <f>F20/AVERAGE($Q9,$P9)</f>
        <v>0.92827699917559781</v>
      </c>
      <c r="H20" s="34"/>
      <c r="I20" s="274">
        <f>AVERAGE(F20,D20,B20)</f>
        <v>10.303333333333333</v>
      </c>
      <c r="J20" s="30">
        <f>STDEV(D20,F20)/I20</f>
        <v>0.11323774075941155</v>
      </c>
      <c r="L20" s="35"/>
      <c r="M20" s="35"/>
      <c r="N20" s="35"/>
      <c r="O20" s="58"/>
      <c r="P20" s="58"/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5.18</v>
      </c>
      <c r="AK20" s="12">
        <f>AJ20/0.5*10</f>
        <v>103.6</v>
      </c>
      <c r="AL20" s="12">
        <v>9.61</v>
      </c>
      <c r="AM20" s="12">
        <f>AL20/0.5*10</f>
        <v>192.2</v>
      </c>
      <c r="AN20" s="12">
        <v>16.68</v>
      </c>
      <c r="AO20" s="12">
        <f>AN20/0.5*10</f>
        <v>333.6</v>
      </c>
      <c r="AP20" s="12">
        <v>24.01</v>
      </c>
      <c r="AQ20" s="12">
        <f>AP20/0.5*10</f>
        <v>480.20000000000005</v>
      </c>
      <c r="AR20" s="12">
        <v>24.57</v>
      </c>
      <c r="AS20" s="12">
        <f>AR20/0.5*20</f>
        <v>982.8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20.34</v>
      </c>
      <c r="C21" s="30">
        <f>B21/AVERAGE($Q10,$P10)</f>
        <v>0.78381502890173416</v>
      </c>
      <c r="D21" s="12">
        <v>19.43</v>
      </c>
      <c r="E21" s="30">
        <f>D21/AVERAGE($Q10,$P10)</f>
        <v>0.74874759152215797</v>
      </c>
      <c r="F21" s="12">
        <v>21.76</v>
      </c>
      <c r="G21" s="30">
        <f>F21/AVERAGE($Q10,$P10)</f>
        <v>0.83853564547206172</v>
      </c>
      <c r="H21" s="34"/>
      <c r="I21" s="274">
        <f>AVERAGE(F21,D21,B21)</f>
        <v>20.51</v>
      </c>
      <c r="J21" s="30">
        <f>STDEV(D21,F21)/I21</f>
        <v>8.0329536819339686E-2</v>
      </c>
      <c r="L21" s="35"/>
      <c r="M21" s="35"/>
      <c r="N21" s="35"/>
      <c r="O21" s="58"/>
      <c r="P21" s="58"/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8.17</v>
      </c>
      <c r="AK21" s="12">
        <f>AJ21/0.5*10</f>
        <v>163.4</v>
      </c>
      <c r="AL21" s="12">
        <v>15.2</v>
      </c>
      <c r="AM21" s="12">
        <f>AL21/0.5*10</f>
        <v>304</v>
      </c>
      <c r="AN21" s="12">
        <v>27.97</v>
      </c>
      <c r="AO21" s="12">
        <f>AN21/0.5*10</f>
        <v>559.4</v>
      </c>
      <c r="AP21" s="12">
        <v>41.11</v>
      </c>
      <c r="AQ21" s="12">
        <f>AP21/0.5*10</f>
        <v>822.2</v>
      </c>
      <c r="AR21" s="12">
        <v>40.75</v>
      </c>
      <c r="AS21" s="12">
        <f>AR21/0.5*20</f>
        <v>1630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52">
        <f>SUM(B$21+B$20)</f>
        <v>30.38</v>
      </c>
      <c r="C22" s="30">
        <f>B22/AVERAGE($Q11,$P11)</f>
        <v>0.79779411764705888</v>
      </c>
      <c r="D22" s="52">
        <f>SUM(D$21+D$20)</f>
        <v>29.04</v>
      </c>
      <c r="E22" s="30">
        <f>D22/AVERAGE($Q11,$P11)</f>
        <v>0.76260504201680679</v>
      </c>
      <c r="F22" s="138">
        <f>F20+F21</f>
        <v>33.020000000000003</v>
      </c>
      <c r="G22" s="30">
        <f>F22/AVERAGE($Q11,$P11)</f>
        <v>0.86712184873949594</v>
      </c>
      <c r="H22" s="34"/>
      <c r="I22" s="274">
        <f>AVERAGE(F22,D22,B22)</f>
        <v>30.813333333333333</v>
      </c>
      <c r="J22" s="30">
        <f>STDEV(D22,F22)/I22</f>
        <v>9.1333351010032301E-2</v>
      </c>
      <c r="L22" s="35"/>
      <c r="M22" s="58"/>
      <c r="N22" s="58"/>
      <c r="O22" s="58"/>
      <c r="P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2">
        <f>SUM(AJ20,AJ21)</f>
        <v>13.35</v>
      </c>
      <c r="AK22">
        <f>AJ22/0.5*10</f>
        <v>267</v>
      </c>
      <c r="AL22" s="12">
        <f>SUM(AL20,AL21)</f>
        <v>24.81</v>
      </c>
      <c r="AM22" s="12">
        <f>AL22/0.5*10</f>
        <v>496.2</v>
      </c>
      <c r="AN22" s="13">
        <f>SUM(AN20,AN21)</f>
        <v>44.65</v>
      </c>
      <c r="AO22" s="12">
        <f>AN22/0.5*10</f>
        <v>893</v>
      </c>
      <c r="AP22" s="13">
        <f>SUM(AP20,AP21)</f>
        <v>65.12</v>
      </c>
      <c r="AQ22" s="12">
        <f>AP22/0.5*10</f>
        <v>1302.4000000000001</v>
      </c>
      <c r="AR22" s="13">
        <f>SUM(AR20,AR21)</f>
        <v>65.319999999999993</v>
      </c>
      <c r="AS22" s="12">
        <f>AR22/0.5*20</f>
        <v>2612.7999999999997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69">
        <f>AK22/AJ24</f>
        <v>0.53400000000000003</v>
      </c>
      <c r="AL23" s="31"/>
      <c r="AM23" s="69">
        <f>AM22/AL24</f>
        <v>0.49619999999999997</v>
      </c>
      <c r="AN23" s="31"/>
      <c r="AO23" s="69">
        <f>AO22/AN24</f>
        <v>0.44650000000000001</v>
      </c>
      <c r="AP23" s="31"/>
      <c r="AQ23" s="69">
        <f>AQ22/AP24</f>
        <v>0.43413333333333337</v>
      </c>
      <c r="AR23" s="31"/>
      <c r="AS23" s="69">
        <f>AS22/AR24</f>
        <v>0.65319999999999989</v>
      </c>
      <c r="AT23" s="2">
        <f>AVERAGE(AK23,AM23,AO23,AQ23,AS23)</f>
        <v>0.51280666666666674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30">
        <f>ABS(B22-B24)/B24</f>
        <v>0.24050000000000002</v>
      </c>
      <c r="C25" s="33"/>
      <c r="D25" s="98">
        <f>ABS(D22-D24)/D24</f>
        <v>0.27400000000000002</v>
      </c>
      <c r="E25" s="34"/>
      <c r="F25" s="30">
        <f>ABS(F22-F24)/F24</f>
        <v>0.17449999999999993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30">
        <f>ABS(AK22-AJ24)/AJ24</f>
        <v>0.46600000000000003</v>
      </c>
      <c r="AK25" s="23"/>
      <c r="AL25" s="30">
        <f>ABS(AM22-AL24)/AL24</f>
        <v>0.50380000000000003</v>
      </c>
      <c r="AM25" s="38"/>
      <c r="AN25" s="30">
        <f>ABS(AO22-AN24)/AN24</f>
        <v>0.55349999999999999</v>
      </c>
      <c r="AO25" s="38"/>
      <c r="AP25" s="30">
        <f>ABS(AQ22-AP24)/AP24</f>
        <v>0.56586666666666663</v>
      </c>
      <c r="AQ25" s="38"/>
      <c r="AR25" s="30">
        <f>ABS(AS22-AR24)/AR24</f>
        <v>0.34680000000000005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M26" s="35"/>
      <c r="N26" s="35"/>
      <c r="T26" s="35"/>
      <c r="AX26" s="35"/>
      <c r="AY26" s="35"/>
      <c r="AZ26" s="35"/>
      <c r="BA26" s="35"/>
      <c r="BB26" s="35"/>
      <c r="BC26" s="35"/>
    </row>
    <row r="27" spans="1:132" x14ac:dyDescent="0.25"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132" x14ac:dyDescent="0.25">
      <c r="A29" t="s">
        <v>3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132" x14ac:dyDescent="0.25">
      <c r="A31" t="s">
        <v>24</v>
      </c>
      <c r="V31" s="16"/>
      <c r="W31" s="17"/>
      <c r="X31" s="18"/>
      <c r="Y31" s="60"/>
      <c r="Z31" s="18"/>
      <c r="AA31" s="60"/>
      <c r="AB31" s="18"/>
      <c r="AC31" s="60"/>
      <c r="AD31" s="18"/>
      <c r="AE31" s="60"/>
      <c r="AF31" s="18"/>
      <c r="AG31" s="16"/>
    </row>
    <row r="32" spans="1:132" x14ac:dyDescent="0.25">
      <c r="A32" t="s">
        <v>25</v>
      </c>
      <c r="V32" s="16"/>
      <c r="W32" s="16"/>
      <c r="X32" s="23"/>
      <c r="Y32" s="16"/>
      <c r="Z32" s="23"/>
      <c r="AA32" s="16"/>
      <c r="AB32" s="23"/>
      <c r="AC32" s="16"/>
      <c r="AD32" s="23"/>
      <c r="AE32" s="16"/>
      <c r="AF32" s="23"/>
      <c r="AG32" s="16"/>
    </row>
    <row r="33" spans="1:33" x14ac:dyDescent="0.25">
      <c r="V33" s="16"/>
      <c r="W33" s="16"/>
      <c r="X33" s="38"/>
      <c r="Y33" s="16"/>
      <c r="Z33" s="38"/>
      <c r="AA33" s="16"/>
      <c r="AB33" s="38"/>
      <c r="AC33" s="16"/>
      <c r="AD33" s="23"/>
      <c r="AE33" s="16"/>
      <c r="AF33" s="23"/>
      <c r="AG33" s="16"/>
    </row>
    <row r="34" spans="1:33" x14ac:dyDescent="0.25">
      <c r="A34" t="s">
        <v>23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x14ac:dyDescent="0.25">
      <c r="A35" t="s">
        <v>18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x14ac:dyDescent="0.25">
      <c r="V36" s="16"/>
      <c r="W36" s="19"/>
      <c r="X36" s="16"/>
      <c r="Y36" s="19"/>
      <c r="Z36" s="16"/>
      <c r="AA36" s="19"/>
      <c r="AB36" s="16"/>
      <c r="AC36" s="19"/>
      <c r="AD36" s="16"/>
      <c r="AE36" s="19"/>
      <c r="AF36" s="16"/>
      <c r="AG36" s="16"/>
    </row>
    <row r="37" spans="1:33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1:33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33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</row>
    <row r="40" spans="1:33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33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</row>
    <row r="43" spans="1:33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</row>
    <row r="44" spans="1:33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</row>
    <row r="45" spans="1:33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</row>
    <row r="49" spans="22:33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</row>
    <row r="50" spans="22:33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  <ignoredErrors>
    <ignoredError sqref="C11:D11 E11:F11 C22 F22 AK11:AN11 AK22:AL22 AM22:AP22 AO11:AQ11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59999389629810485"/>
  </sheetPr>
  <dimension ref="A1:T27"/>
  <sheetViews>
    <sheetView zoomScale="60" zoomScaleNormal="60" workbookViewId="0">
      <selection activeCell="G4" sqref="G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0.87</v>
      </c>
      <c r="C4" s="119">
        <v>0.68</v>
      </c>
      <c r="D4" s="119">
        <v>0.8</v>
      </c>
      <c r="E4" s="143">
        <v>0.75</v>
      </c>
      <c r="F4" s="123">
        <v>0.85</v>
      </c>
      <c r="G4" s="123">
        <v>0.74</v>
      </c>
      <c r="H4" s="122">
        <v>0.75</v>
      </c>
      <c r="I4" s="123">
        <v>0.92</v>
      </c>
      <c r="J4" s="126">
        <v>0.77</v>
      </c>
      <c r="K4" s="126">
        <v>0.73</v>
      </c>
      <c r="L4" s="126">
        <v>0.91</v>
      </c>
      <c r="M4" s="126">
        <v>0.72</v>
      </c>
      <c r="N4" s="126">
        <v>0.85</v>
      </c>
      <c r="O4" s="126">
        <v>0.81</v>
      </c>
      <c r="P4" s="126">
        <v>0.72</v>
      </c>
      <c r="Q4" s="126">
        <v>0.84</v>
      </c>
      <c r="R4" s="126">
        <v>0.76</v>
      </c>
      <c r="S4" s="126">
        <v>0.83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25">
      <c r="A10" s="116" t="s">
        <v>96</v>
      </c>
      <c r="B10" s="261" t="s">
        <v>353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2">
        <v>291.7</v>
      </c>
      <c r="L10" s="12">
        <v>357.9</v>
      </c>
      <c r="M10" s="12">
        <v>663.8</v>
      </c>
      <c r="N10" s="71">
        <v>1060.5</v>
      </c>
      <c r="O10" s="12">
        <v>1663.6000000000001</v>
      </c>
      <c r="P10" s="16"/>
      <c r="Q10" s="16"/>
      <c r="R10" s="16"/>
    </row>
    <row r="11" spans="1:20" ht="39" customHeight="1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ht="0.75" customHeight="1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76.5" customHeight="1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 tint="0.59999389629810485"/>
  </sheetPr>
  <dimension ref="A2:GU50"/>
  <sheetViews>
    <sheetView zoomScale="80" zoomScaleNormal="80" zoomScaleSheetLayoutView="40" workbookViewId="0">
      <pane xSplit="1" topLeftCell="AH1" activePane="topRight" state="frozen"/>
      <selection pane="topRight" activeCell="R7" sqref="R7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7.5703125" customWidth="1"/>
    <col min="13" max="17" width="10.710937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180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s="102">
        <v>43827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1.66</v>
      </c>
      <c r="C7" s="29">
        <f>B7/AVERAGE($M7,$N7)</f>
        <v>4.2422693585484283E-2</v>
      </c>
      <c r="D7" s="12">
        <v>1.58</v>
      </c>
      <c r="E7" s="29">
        <f>D7/AVERAGE($M7,$N7)</f>
        <v>4.037822642473806E-2</v>
      </c>
      <c r="F7" s="12" t="s">
        <v>158</v>
      </c>
      <c r="G7" s="29" t="e">
        <f>F7/AVERAGE($M7,$N7)</f>
        <v>#VALUE!</v>
      </c>
      <c r="H7" s="33"/>
      <c r="I7" s="12">
        <f>AVERAGE(B7,D7,F7)</f>
        <v>1.62</v>
      </c>
      <c r="J7" s="30">
        <f>STDEV(B7,D7,F7)/I7</f>
        <v>3.4918853391928205E-2</v>
      </c>
      <c r="K7" s="19"/>
      <c r="L7" s="12">
        <v>40.25</v>
      </c>
      <c r="M7" s="12">
        <v>38.86</v>
      </c>
      <c r="N7" s="12">
        <v>39.4</v>
      </c>
      <c r="O7" s="12">
        <v>41.53</v>
      </c>
      <c r="P7" s="12">
        <v>40.46</v>
      </c>
      <c r="Q7" s="12">
        <v>40.65</v>
      </c>
      <c r="R7" s="141">
        <f>AVERAGE(L7:Q7)</f>
        <v>40.19166666666667</v>
      </c>
      <c r="S7" s="54">
        <f>ABS(L7-O7)/AVERAGE(O7,L7)</f>
        <v>3.1303497187576454E-2</v>
      </c>
      <c r="T7" s="38"/>
      <c r="U7" s="38"/>
      <c r="V7" s="16"/>
      <c r="W7" s="12">
        <v>1.84</v>
      </c>
      <c r="X7" s="29">
        <f>W7/AVERAGE($M7,$N7)</f>
        <v>4.7022744697163311E-2</v>
      </c>
      <c r="Y7" s="12">
        <v>1.77</v>
      </c>
      <c r="Z7" s="29">
        <f>Y7/AVERAGE($M7,$N7)</f>
        <v>4.5233835931510355E-2</v>
      </c>
      <c r="AA7" s="12">
        <v>1.68</v>
      </c>
      <c r="AB7" s="29">
        <f>AA7/AVERAGE($M7,$N7)</f>
        <v>4.2933810375670844E-2</v>
      </c>
      <c r="AC7" s="12">
        <v>1.75</v>
      </c>
      <c r="AD7" s="29">
        <f>AC7/AVERAGE($M7,$N7)</f>
        <v>4.4722719141323801E-2</v>
      </c>
      <c r="AE7" s="12">
        <v>1.79</v>
      </c>
      <c r="AF7" s="29">
        <f>AE7/AVERAGE($M7,$N7)</f>
        <v>4.5744952721696916E-2</v>
      </c>
      <c r="AG7" s="16"/>
      <c r="AH7" s="38"/>
      <c r="AI7" s="20"/>
      <c r="AJ7" s="12" t="s">
        <v>159</v>
      </c>
      <c r="AK7" s="29" t="e">
        <f>AJ7*10/AVERAGE($L7,$M7)</f>
        <v>#VALUE!</v>
      </c>
      <c r="AL7" s="12" t="s">
        <v>158</v>
      </c>
      <c r="AM7" s="29" t="e">
        <f>AL7*10/AVERAGE($L7,$M7)</f>
        <v>#VALUE!</v>
      </c>
      <c r="AN7" s="12" t="s">
        <v>159</v>
      </c>
      <c r="AO7" s="29" t="e">
        <f>AN7*10/AVERAGE($L7,$M7)</f>
        <v>#VALUE!</v>
      </c>
      <c r="AP7" s="12" t="s">
        <v>158</v>
      </c>
      <c r="AQ7" s="29" t="e">
        <f>AP7*10/AVERAGE($L7,$M7)</f>
        <v>#VALUE!</v>
      </c>
      <c r="AR7" s="12" t="s">
        <v>158</v>
      </c>
      <c r="AS7" s="29" t="e">
        <f>AR7*20/AVERAGE($L7,$M7)</f>
        <v>#VALUE!</v>
      </c>
      <c r="AT7" s="43"/>
      <c r="AU7" s="12">
        <v>1.69</v>
      </c>
      <c r="AV7" s="29">
        <f>AU7/AVERAGE($L7,$M7)</f>
        <v>4.2725319175831118E-2</v>
      </c>
      <c r="AW7" s="12">
        <v>1.68</v>
      </c>
      <c r="AX7" s="29">
        <f>AW7/AVERAGE($L7,$M7)</f>
        <v>4.2472506636329163E-2</v>
      </c>
      <c r="AY7" s="12">
        <v>0.6</v>
      </c>
      <c r="AZ7" s="29">
        <f>AY7/AVERAGE($L7,$M7)</f>
        <v>1.5168752370117557E-2</v>
      </c>
      <c r="BA7" s="12">
        <v>2.1</v>
      </c>
      <c r="BB7" s="29">
        <f>BA7/AVERAGE($L7,$M7)</f>
        <v>5.3090633295411457E-2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31.71</v>
      </c>
      <c r="C8" s="30">
        <f>B8/AVERAGE($M8,$N8)</f>
        <v>0.86674866748667501</v>
      </c>
      <c r="D8" s="12">
        <v>24.79</v>
      </c>
      <c r="E8" s="98">
        <f>D8/AVERAGE($M8,$N8)</f>
        <v>0.67760010933442683</v>
      </c>
      <c r="F8" s="12">
        <v>29.19</v>
      </c>
      <c r="G8" s="30">
        <f>F8/AVERAGE($M8,$N8)</f>
        <v>0.79786797867978698</v>
      </c>
      <c r="H8" s="34"/>
      <c r="I8" s="274">
        <f>AVERAGE(B8,D8,F8)</f>
        <v>28.563333333333333</v>
      </c>
      <c r="J8" s="30">
        <f>STDEV(B8,D8,F8)/I8</f>
        <v>0.12261538114916368</v>
      </c>
      <c r="K8" s="19"/>
      <c r="L8" s="12">
        <v>38.340000000000003</v>
      </c>
      <c r="M8" s="12">
        <v>36.76</v>
      </c>
      <c r="N8" s="12">
        <v>36.409999999999997</v>
      </c>
      <c r="O8" s="12">
        <v>39.74</v>
      </c>
      <c r="P8" s="12">
        <v>37.81</v>
      </c>
      <c r="Q8" s="12">
        <v>37.979999999999997</v>
      </c>
      <c r="R8" s="53">
        <f>AVERAGE(L8:Q8)</f>
        <v>37.839999999999996</v>
      </c>
      <c r="S8" s="54">
        <f>ABS(L8-O8)/AVERAGE(O8,L8)</f>
        <v>3.5860655737704875E-2</v>
      </c>
      <c r="T8" s="38"/>
      <c r="U8" s="38"/>
      <c r="V8" s="16"/>
      <c r="W8" s="12">
        <v>28.05</v>
      </c>
      <c r="X8" s="30">
        <f>W8/AVERAGE($M8,$N8)</f>
        <v>0.76670766707667093</v>
      </c>
      <c r="Y8" s="12">
        <v>26.77</v>
      </c>
      <c r="Z8" s="30">
        <f>Y8/AVERAGE($M8,$N8)</f>
        <v>0.73172065053983881</v>
      </c>
      <c r="AA8" s="12">
        <v>33.42</v>
      </c>
      <c r="AB8" s="30">
        <f>AA8/AVERAGE($M8,$N8)</f>
        <v>0.91348913489134909</v>
      </c>
      <c r="AC8" s="12">
        <v>26.47</v>
      </c>
      <c r="AD8" s="30">
        <f>AC8/AVERAGE($M8,$N8)</f>
        <v>0.7235205685390188</v>
      </c>
      <c r="AE8" s="12">
        <v>31.23</v>
      </c>
      <c r="AF8" s="30">
        <f>AE8/AVERAGE($M8,$N8)</f>
        <v>0.85362853628536306</v>
      </c>
      <c r="AG8" s="16"/>
      <c r="AH8" s="23"/>
      <c r="AI8" s="20"/>
      <c r="AJ8" s="12" t="s">
        <v>159</v>
      </c>
      <c r="AK8" s="30" t="e">
        <f>AJ8*10/AVERAGE($L8,$M8)</f>
        <v>#VALUE!</v>
      </c>
      <c r="AL8" s="12" t="s">
        <v>158</v>
      </c>
      <c r="AM8" s="30" t="e">
        <f>AL8*10/AVERAGE($L8,$M8)</f>
        <v>#VALUE!</v>
      </c>
      <c r="AN8" s="12" t="s">
        <v>159</v>
      </c>
      <c r="AO8" s="30" t="e">
        <f>AN8*10/AVERAGE($L8,$M8)</f>
        <v>#VALUE!</v>
      </c>
      <c r="AP8" s="12" t="s">
        <v>158</v>
      </c>
      <c r="AQ8" s="30" t="e">
        <f>AP8*10/AVERAGE($L8,$M8)</f>
        <v>#VALUE!</v>
      </c>
      <c r="AR8" s="12" t="s">
        <v>158</v>
      </c>
      <c r="AS8" s="30" t="e">
        <f>AR8*20/AVERAGE($L8,$M8)</f>
        <v>#VALUE!</v>
      </c>
      <c r="AT8" s="43"/>
      <c r="AU8" s="12">
        <v>28.23</v>
      </c>
      <c r="AV8" s="30">
        <f>AU8/AVERAGE($L8,$M8)</f>
        <v>0.75179760319573907</v>
      </c>
      <c r="AW8" s="12">
        <v>28.13</v>
      </c>
      <c r="AX8" s="30">
        <f>AW8/AVERAGE($L8,$M8)</f>
        <v>0.74913448735019972</v>
      </c>
      <c r="AY8" s="12">
        <v>30.87</v>
      </c>
      <c r="AZ8" s="30">
        <f>AY8/AVERAGE($L8,$M8)</f>
        <v>0.8221038615179761</v>
      </c>
      <c r="BA8" s="12">
        <v>35.520000000000003</v>
      </c>
      <c r="BB8" s="30">
        <f>BA8/AVERAGE($O8,$P8)</f>
        <v>0.91605415860735007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8.81</v>
      </c>
      <c r="C9" s="30">
        <f>B9/AVERAGE($M9,$N9)</f>
        <v>0.80640732265446224</v>
      </c>
      <c r="D9" s="12">
        <v>8.14</v>
      </c>
      <c r="E9" s="30">
        <f>D9/AVERAGE($M9,$N9)</f>
        <v>0.74508009153318078</v>
      </c>
      <c r="F9" s="12">
        <v>8.4499999999999993</v>
      </c>
      <c r="G9" s="30">
        <f>F9/AVERAGE($M9,$N9)</f>
        <v>0.77345537757437055</v>
      </c>
      <c r="H9" s="34"/>
      <c r="I9" s="274">
        <f>AVERAGE(B9,D9,F9)</f>
        <v>8.4666666666666668</v>
      </c>
      <c r="J9" s="30">
        <f>STDEV(B9,D9,F9)/I9</f>
        <v>3.960363792502241E-2</v>
      </c>
      <c r="K9" s="16"/>
      <c r="L9" s="12">
        <v>12.1</v>
      </c>
      <c r="M9" s="12">
        <v>10.9</v>
      </c>
      <c r="N9" s="12">
        <v>10.95</v>
      </c>
      <c r="O9" s="12">
        <v>12.64</v>
      </c>
      <c r="P9" s="12">
        <v>11.48</v>
      </c>
      <c r="Q9" s="12">
        <v>10.56</v>
      </c>
      <c r="R9" s="141">
        <f>AVERAGE(L9:Q9)</f>
        <v>11.438333333333334</v>
      </c>
      <c r="S9" s="54">
        <f>ABS(L9-O9)/AVERAGE(O9,L9)</f>
        <v>4.3654001616814944E-2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8.9600000000000009</v>
      </c>
      <c r="AK9" s="12">
        <f>AJ9/0.5*10</f>
        <v>179.20000000000002</v>
      </c>
      <c r="AL9" s="12">
        <v>9.08</v>
      </c>
      <c r="AM9" s="12">
        <f>AL9/0.5*10</f>
        <v>181.6</v>
      </c>
      <c r="AN9" s="12">
        <v>17.62</v>
      </c>
      <c r="AO9" s="12">
        <f>AN9/0.5*10</f>
        <v>352.40000000000003</v>
      </c>
      <c r="AP9" s="12">
        <v>24.11</v>
      </c>
      <c r="AQ9" s="12">
        <f>AP9/0.5*10</f>
        <v>482.2</v>
      </c>
      <c r="AR9" s="12">
        <v>17.07</v>
      </c>
      <c r="AS9" s="12">
        <f>AR9/0.5*20</f>
        <v>682.8</v>
      </c>
      <c r="AT9" s="45"/>
      <c r="AU9" s="12">
        <v>2.41</v>
      </c>
      <c r="AV9" s="12"/>
      <c r="AW9" s="12">
        <v>2.82</v>
      </c>
      <c r="AX9" s="12"/>
      <c r="AY9" s="12"/>
      <c r="AZ9" s="12"/>
      <c r="BA9" s="12" t="s">
        <v>158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16.38</v>
      </c>
      <c r="C10" s="30">
        <f>B10/AVERAGE($M10,$N10)</f>
        <v>0.70832432432432424</v>
      </c>
      <c r="D10" s="12">
        <v>17.63</v>
      </c>
      <c r="E10" s="30">
        <f>D10/AVERAGE($M10,$N10)</f>
        <v>0.7623783783783783</v>
      </c>
      <c r="F10" s="12">
        <v>15.57</v>
      </c>
      <c r="G10" s="30">
        <f>F10/AVERAGE($M10,$N10)</f>
        <v>0.67329729729729726</v>
      </c>
      <c r="H10" s="34"/>
      <c r="I10" s="274">
        <f>AVERAGE(B10,D10,F10)</f>
        <v>16.526666666666667</v>
      </c>
      <c r="J10" s="30">
        <f>STDEV(B10,D10,F10)/I10</f>
        <v>6.2795613039548948E-2</v>
      </c>
      <c r="K10" s="16"/>
      <c r="L10" s="12">
        <v>26.62</v>
      </c>
      <c r="M10" s="12">
        <v>22.88</v>
      </c>
      <c r="N10" s="12">
        <v>23.37</v>
      </c>
      <c r="O10" s="12">
        <v>29.27</v>
      </c>
      <c r="P10" s="12">
        <v>26.08</v>
      </c>
      <c r="Q10" s="12">
        <v>23.33</v>
      </c>
      <c r="R10" s="141">
        <f>AVERAGE(L10:Q10)</f>
        <v>25.258333333333336</v>
      </c>
      <c r="S10" s="54">
        <f>ABS(L10-O10)/AVERAGE(O10,L10)</f>
        <v>9.482912864555372E-2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15.01</v>
      </c>
      <c r="AK10" s="12">
        <f>AJ10/0.5*10</f>
        <v>300.2</v>
      </c>
      <c r="AL10" s="12">
        <v>18.100000000000001</v>
      </c>
      <c r="AM10" s="12">
        <f>AL10/0.5*10</f>
        <v>362</v>
      </c>
      <c r="AN10" s="12">
        <v>31.07</v>
      </c>
      <c r="AO10" s="12">
        <f>AN10/0.5*10</f>
        <v>621.4</v>
      </c>
      <c r="AP10" s="12">
        <v>48.13</v>
      </c>
      <c r="AQ10" s="12">
        <f>AP10/0.5*10</f>
        <v>962.6</v>
      </c>
      <c r="AR10" s="12">
        <v>34.130000000000003</v>
      </c>
      <c r="AS10" s="12">
        <f>AR10/0.5*20</f>
        <v>1365.2</v>
      </c>
      <c r="AT10" s="45"/>
      <c r="AU10" s="12">
        <v>2.6</v>
      </c>
      <c r="AV10" s="12"/>
      <c r="AW10" s="12">
        <v>2.8</v>
      </c>
      <c r="AX10" s="12"/>
      <c r="AY10" s="12"/>
      <c r="AZ10" s="12"/>
      <c r="BA10" s="12" t="s">
        <v>158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25.189999999999998</v>
      </c>
      <c r="C11" s="30">
        <f>B11/AVERAGE($M11,$N11)</f>
        <v>0.73979441997063144</v>
      </c>
      <c r="D11" s="52">
        <f>SUM(D$10+D$9)</f>
        <v>25.77</v>
      </c>
      <c r="E11" s="30">
        <f>D11/AVERAGE($M11,$N11)</f>
        <v>0.75682819383259914</v>
      </c>
      <c r="F11" s="52">
        <f>SUM(F$10+F$9)</f>
        <v>24.02</v>
      </c>
      <c r="G11" s="30">
        <f>F11/AVERAGE($M11,$N11)</f>
        <v>0.70543318649045528</v>
      </c>
      <c r="H11" s="34"/>
      <c r="I11" s="12">
        <f>AVERAGE(B11,D11)</f>
        <v>25.479999999999997</v>
      </c>
      <c r="J11" s="30">
        <f>STDEV(B11,D11,F11)/I11</f>
        <v>3.4985168164677574E-2</v>
      </c>
      <c r="K11" s="19"/>
      <c r="L11" s="136">
        <f t="shared" ref="L11:Q11" si="0">SUM(L9,L10)</f>
        <v>38.72</v>
      </c>
      <c r="M11" s="52">
        <f t="shared" si="0"/>
        <v>33.78</v>
      </c>
      <c r="N11" s="52">
        <f t="shared" si="0"/>
        <v>34.32</v>
      </c>
      <c r="O11" s="52">
        <f t="shared" si="0"/>
        <v>41.91</v>
      </c>
      <c r="P11" s="52">
        <f t="shared" si="0"/>
        <v>37.56</v>
      </c>
      <c r="Q11" s="52">
        <f t="shared" si="0"/>
        <v>33.89</v>
      </c>
      <c r="R11" s="141">
        <f>AVERAGE(L11:Q11)</f>
        <v>36.696666666666665</v>
      </c>
      <c r="S11" s="54">
        <f>ABS(L11-O11)/AVERAGE(O11,L11)</f>
        <v>7.9126875852660247E-2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2">
        <f>SUM(AJ9,AJ10)</f>
        <v>23.97</v>
      </c>
      <c r="AK11" s="12">
        <f>AJ11/0.5*10</f>
        <v>479.4</v>
      </c>
      <c r="AL11" s="12">
        <f>SUM(AL9,AL10)</f>
        <v>27.18</v>
      </c>
      <c r="AM11" s="12">
        <f>AL11/0.5*10</f>
        <v>543.6</v>
      </c>
      <c r="AN11" s="12">
        <f>SUM(AN9,AN10)</f>
        <v>48.69</v>
      </c>
      <c r="AO11" s="12">
        <f>AN11/0.5*10</f>
        <v>973.8</v>
      </c>
      <c r="AP11" s="13">
        <f>SUM(AP9,AP10)</f>
        <v>72.240000000000009</v>
      </c>
      <c r="AQ11" s="12">
        <f>AP11/0.5*10</f>
        <v>1444.8000000000002</v>
      </c>
      <c r="AR11" s="13">
        <f>SUM(AR9,AR10)</f>
        <v>51.2</v>
      </c>
      <c r="AS11" s="12">
        <f>AR11/0.5*20</f>
        <v>2048</v>
      </c>
      <c r="AT11" s="45" t="s">
        <v>81</v>
      </c>
      <c r="AU11" s="12"/>
      <c r="AV11" s="12"/>
      <c r="AW11" s="12"/>
      <c r="AX11" s="12"/>
      <c r="AY11" s="12" t="s">
        <v>185</v>
      </c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 t="shared" ref="L12:R12" si="1">(L7+L8+L11)/3</f>
        <v>39.103333333333332</v>
      </c>
      <c r="M12" s="275">
        <f t="shared" si="1"/>
        <v>36.466666666666669</v>
      </c>
      <c r="N12" s="55">
        <f t="shared" si="1"/>
        <v>36.71</v>
      </c>
      <c r="O12" s="55">
        <f t="shared" si="1"/>
        <v>41.06</v>
      </c>
      <c r="P12" s="55">
        <f t="shared" si="1"/>
        <v>38.610000000000007</v>
      </c>
      <c r="Q12" s="275">
        <f t="shared" si="1"/>
        <v>37.506666666666668</v>
      </c>
      <c r="R12" s="275">
        <f t="shared" si="1"/>
        <v>38.242777777777775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137"/>
      <c r="AK12" s="69">
        <f>AK11/AJ13</f>
        <v>0.95879999999999999</v>
      </c>
      <c r="AL12" s="31"/>
      <c r="AM12" s="69">
        <f>AM11/AL13</f>
        <v>0.54359999999999997</v>
      </c>
      <c r="AN12" s="31"/>
      <c r="AO12" s="69">
        <f>AO11/AN13</f>
        <v>0.4869</v>
      </c>
      <c r="AP12" s="31"/>
      <c r="AQ12" s="69">
        <f>AQ11/AP13</f>
        <v>0.48160000000000008</v>
      </c>
      <c r="AR12" s="31"/>
      <c r="AS12" s="69">
        <f>AS11/AR13</f>
        <v>0.51200000000000001</v>
      </c>
      <c r="AT12" s="2">
        <f>AVERAGE(AK12,AM12,AO12,AQ12,AS12)</f>
        <v>0.59658000000000011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98">
        <f>ABS(B11-B13)/B13</f>
        <v>0.37025000000000008</v>
      </c>
      <c r="C14" s="33"/>
      <c r="D14" s="98">
        <f>ABS(D11-D13)/D13</f>
        <v>0.35575000000000001</v>
      </c>
      <c r="E14" s="34"/>
      <c r="F14" s="98">
        <f>ABS(F11-F13)/F13</f>
        <v>0.39950000000000002</v>
      </c>
      <c r="G14" s="34"/>
      <c r="H14" s="34"/>
      <c r="I14" s="34"/>
      <c r="J14" s="34"/>
      <c r="K14" s="38"/>
      <c r="L14" s="30">
        <f t="shared" ref="L14:R14" si="2">(L12-L13)/L13</f>
        <v>-2.2416666666666706E-2</v>
      </c>
      <c r="M14" s="30">
        <f t="shared" si="2"/>
        <v>-8.8333333333333292E-2</v>
      </c>
      <c r="N14" s="30">
        <f t="shared" si="2"/>
        <v>-8.2249999999999976E-2</v>
      </c>
      <c r="O14" s="30">
        <f t="shared" si="2"/>
        <v>2.6500000000000058E-2</v>
      </c>
      <c r="P14" s="30">
        <f t="shared" si="2"/>
        <v>-3.4749999999999837E-2</v>
      </c>
      <c r="Q14" s="30">
        <f t="shared" si="2"/>
        <v>-6.233333333333331E-2</v>
      </c>
      <c r="R14" s="30">
        <f t="shared" si="2"/>
        <v>-4.3930555555555625E-2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72">
        <f>ABS(AK11-AJ13)/AJ13</f>
        <v>4.1200000000000042E-2</v>
      </c>
      <c r="AK14" s="61"/>
      <c r="AL14" s="100">
        <f>ABS(AM11-AL13)/AL13</f>
        <v>0.45639999999999997</v>
      </c>
      <c r="AM14" s="62"/>
      <c r="AN14" s="100">
        <f>ABS(AO11-AN13)/AN13</f>
        <v>0.5131</v>
      </c>
      <c r="AO14" s="62"/>
      <c r="AP14" s="100">
        <f>ABS(AQ11-AP13)/AP13</f>
        <v>0.51839999999999997</v>
      </c>
      <c r="AQ14" s="62"/>
      <c r="AR14" s="100">
        <f>ABS(AS11-AR13)/AR13</f>
        <v>0.48799999999999999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0.78908018266091107</v>
      </c>
      <c r="X15" s="71"/>
      <c r="Y15" s="30">
        <f>AVERAGE(Z8,Z19)</f>
        <v>0.72804531009641371</v>
      </c>
      <c r="Z15" s="71"/>
      <c r="AA15" s="30">
        <f>AVERAGE(AB8,AB19)</f>
        <v>0.87896385758949303</v>
      </c>
      <c r="AB15" s="71"/>
      <c r="AC15" s="30">
        <f>AVERAGE(AD8,AD19)</f>
        <v>0.74136181481443619</v>
      </c>
      <c r="AD15" s="71"/>
      <c r="AE15" s="30">
        <f>AVERAGE(AF8,AF19)</f>
        <v>0.8421724948216629</v>
      </c>
      <c r="AF15" s="16"/>
      <c r="AG15" s="16"/>
      <c r="AH15" s="16"/>
      <c r="AI15" s="142" t="s">
        <v>129</v>
      </c>
      <c r="AJ15" s="103">
        <f>AVERAGE(AK11,AK22)</f>
        <v>291.7</v>
      </c>
      <c r="AK15" s="71"/>
      <c r="AL15" s="103">
        <f>AVERAGE(AM11,AM22)</f>
        <v>357.9</v>
      </c>
      <c r="AM15" s="71"/>
      <c r="AN15" s="103">
        <f>AVERAGE(AO22,AO11)</f>
        <v>663.8</v>
      </c>
      <c r="AO15" s="71"/>
      <c r="AP15" s="103">
        <f>AVERAGE(AQ11,AQ22)</f>
        <v>1060.5</v>
      </c>
      <c r="AQ15" s="71"/>
      <c r="AR15" s="103">
        <f>AVERAGE(AS11,AS22)</f>
        <v>1663.6000000000001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t="s">
        <v>15</v>
      </c>
      <c r="M17" s="139" t="s">
        <v>181</v>
      </c>
      <c r="N17" s="139" t="s">
        <v>182</v>
      </c>
      <c r="O17" s="139" t="s">
        <v>181</v>
      </c>
      <c r="P17" s="139" t="s">
        <v>182</v>
      </c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>
        <v>1.79</v>
      </c>
      <c r="C18" s="29">
        <f>B18/AVERAGE($Q7,$P7)</f>
        <v>4.4137590925903095E-2</v>
      </c>
      <c r="D18" s="12">
        <v>2.0499999999999998</v>
      </c>
      <c r="E18" s="29">
        <f>D18/AVERAGE($Q7,$P7)</f>
        <v>5.0548637652570581E-2</v>
      </c>
      <c r="F18" s="12">
        <v>1.72</v>
      </c>
      <c r="G18" s="29">
        <f>F18/AVERAGE($Q7,$P7)</f>
        <v>4.2411539884108E-2</v>
      </c>
      <c r="H18" s="33"/>
      <c r="I18" s="274">
        <f>AVERAGE(D18,F18)</f>
        <v>1.8849999999999998</v>
      </c>
      <c r="J18" s="30">
        <f>STDEV(D18,F18)/I18</f>
        <v>0.12379057707775099</v>
      </c>
      <c r="K18" s="1"/>
      <c r="L18" t="s">
        <v>5</v>
      </c>
      <c r="M18" s="12" t="s">
        <v>159</v>
      </c>
      <c r="N18" s="12" t="s">
        <v>158</v>
      </c>
      <c r="O18" s="140"/>
      <c r="P18" s="140"/>
      <c r="Q18" s="1"/>
      <c r="S18" s="38"/>
      <c r="T18" s="38"/>
      <c r="U18" s="38"/>
      <c r="V18" s="16"/>
      <c r="W18" s="12">
        <v>1.89</v>
      </c>
      <c r="X18" s="29">
        <f>W18/AVERAGE($Q7,$P7)</f>
        <v>4.6603378128467508E-2</v>
      </c>
      <c r="Y18" s="12">
        <v>1.79</v>
      </c>
      <c r="Z18" s="29">
        <f>Y18/AVERAGE($Q7,$P7)</f>
        <v>4.4137590925903095E-2</v>
      </c>
      <c r="AA18" s="12">
        <v>1.67</v>
      </c>
      <c r="AB18" s="29">
        <f>AA18/AVERAGE($Q7,$P7)</f>
        <v>4.117864628282579E-2</v>
      </c>
      <c r="AC18" s="12">
        <v>1.71</v>
      </c>
      <c r="AD18" s="29">
        <f>AC18/AVERAGE($Q7,$P7)</f>
        <v>4.2164961163851558E-2</v>
      </c>
      <c r="AE18" s="12">
        <v>1.81</v>
      </c>
      <c r="AF18" s="29">
        <f>AE18/AVERAGE($Q7,$P7)</f>
        <v>4.4630748366415979E-2</v>
      </c>
      <c r="AG18" s="16"/>
      <c r="AH18" s="38"/>
      <c r="AI18" s="20"/>
      <c r="AJ18" s="12" t="s">
        <v>158</v>
      </c>
      <c r="AK18" s="29" t="e">
        <f>AJ18*10/AVERAGE($L$7,$M$7)</f>
        <v>#VALUE!</v>
      </c>
      <c r="AL18" s="12" t="s">
        <v>159</v>
      </c>
      <c r="AM18" s="29" t="e">
        <f>AL18*10/AVERAGE($L$7,$M$7)</f>
        <v>#VALUE!</v>
      </c>
      <c r="AN18" s="12" t="s">
        <v>159</v>
      </c>
      <c r="AO18" s="29" t="e">
        <f>AN18*10/AVERAGE($L$7,$M$7)</f>
        <v>#VALUE!</v>
      </c>
      <c r="AP18" s="12" t="s">
        <v>158</v>
      </c>
      <c r="AQ18" s="29" t="e">
        <f>AP18*10/AVERAGE($L$7,$M$7)</f>
        <v>#VALUE!</v>
      </c>
      <c r="AR18" s="12" t="s">
        <v>159</v>
      </c>
      <c r="AS18" s="29" t="e">
        <f>AR18*10/AVERAGE($L$7,$M$7)</f>
        <v>#VALUE!</v>
      </c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28.52</v>
      </c>
      <c r="C19" s="30">
        <f>B19/AVERAGE($Q8,$P8)</f>
        <v>0.75260588468135647</v>
      </c>
      <c r="D19" s="12">
        <v>32.08</v>
      </c>
      <c r="E19" s="30">
        <f>D19/AVERAGE($Q8,$P8)</f>
        <v>0.84654967673835602</v>
      </c>
      <c r="F19" s="12">
        <v>28.19</v>
      </c>
      <c r="G19" s="30">
        <f>F19/AVERAGE($Q8,$P8)</f>
        <v>0.7438976118221402</v>
      </c>
      <c r="H19" s="34"/>
      <c r="I19" s="274">
        <f>AVERAGE(D19,F19)</f>
        <v>30.134999999999998</v>
      </c>
      <c r="J19" s="30">
        <f>STDEV(D19,F19)/I19</f>
        <v>9.1277430855008057E-2</v>
      </c>
      <c r="K19" s="11"/>
      <c r="L19" t="s">
        <v>9</v>
      </c>
      <c r="M19" s="12" t="s">
        <v>159</v>
      </c>
      <c r="N19" s="12">
        <v>24.13</v>
      </c>
      <c r="O19" s="140"/>
      <c r="P19" s="140"/>
      <c r="S19" s="38"/>
      <c r="T19" s="38"/>
      <c r="U19" s="38"/>
      <c r="V19" s="16"/>
      <c r="W19" s="12">
        <v>30.75</v>
      </c>
      <c r="X19" s="30">
        <f>W19/AVERAGE($Q8,$P8)</f>
        <v>0.8114526982451512</v>
      </c>
      <c r="Y19" s="12">
        <v>27.45</v>
      </c>
      <c r="Z19" s="30">
        <f>Y19/AVERAGE($Q8,$P8)</f>
        <v>0.72436996965298861</v>
      </c>
      <c r="AA19" s="12">
        <v>32</v>
      </c>
      <c r="AB19" s="30">
        <f>AA19/AVERAGE($Q8,$P8)</f>
        <v>0.84443858028763696</v>
      </c>
      <c r="AC19" s="12">
        <v>28.77</v>
      </c>
      <c r="AD19" s="30">
        <f>AC19/AVERAGE($Q8,$P8)</f>
        <v>0.75920306108985358</v>
      </c>
      <c r="AE19" s="12">
        <v>31.48</v>
      </c>
      <c r="AF19" s="30">
        <f>AE19/AVERAGE($Q8,$P8)</f>
        <v>0.83071645335796285</v>
      </c>
      <c r="AG19" s="16"/>
      <c r="AH19" s="23"/>
      <c r="AI19" s="20"/>
      <c r="AJ19" s="12" t="s">
        <v>158</v>
      </c>
      <c r="AK19" s="30" t="e">
        <f>AJ19*10/AVERAGE($L$8,$M$8)</f>
        <v>#VALUE!</v>
      </c>
      <c r="AL19" s="12" t="s">
        <v>159</v>
      </c>
      <c r="AM19" s="30" t="e">
        <f>AL19*10/AVERAGE($L$8,$M$8)</f>
        <v>#VALUE!</v>
      </c>
      <c r="AN19" s="12" t="s">
        <v>159</v>
      </c>
      <c r="AO19" s="30" t="e">
        <f>AN19*10/AVERAGE($L$8,$M$8)</f>
        <v>#VALUE!</v>
      </c>
      <c r="AP19" s="12" t="s">
        <v>158</v>
      </c>
      <c r="AQ19" s="30" t="e">
        <f>AP19*10/AVERAGE($L$8,$M$8)</f>
        <v>#VALUE!</v>
      </c>
      <c r="AR19" s="12" t="s">
        <v>159</v>
      </c>
      <c r="AS19" s="30" t="e">
        <f>AR19*20/AVERAGE($L$8,$M$8)</f>
        <v>#VALUE!</v>
      </c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8.81</v>
      </c>
      <c r="C20" s="30">
        <f>B20/AVERAGE($Q9,$P9)</f>
        <v>0.79945553539019976</v>
      </c>
      <c r="D20" s="12">
        <v>9.3699999999999992</v>
      </c>
      <c r="E20" s="30">
        <f>D20/AVERAGE($Q9,$P9)</f>
        <v>0.85027223230490012</v>
      </c>
      <c r="F20" s="12">
        <v>9.52</v>
      </c>
      <c r="G20" s="30">
        <f>F20/AVERAGE($Q9,$P9)</f>
        <v>0.86388384754990921</v>
      </c>
      <c r="H20" s="34"/>
      <c r="I20" s="274">
        <f>AVERAGE(D20,F20)</f>
        <v>9.4450000000000003</v>
      </c>
      <c r="J20" s="30">
        <f>STDEV(D20,F20)/I20</f>
        <v>1.1229858885969547E-2</v>
      </c>
      <c r="L20" t="s">
        <v>7</v>
      </c>
      <c r="M20" s="12">
        <v>3.59</v>
      </c>
      <c r="N20" s="12">
        <v>5.0599999999999996</v>
      </c>
      <c r="O20" s="140">
        <f>M20/0.5</f>
        <v>7.18</v>
      </c>
      <c r="P20" s="140">
        <f>N20/0.5</f>
        <v>10.119999999999999</v>
      </c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3.36</v>
      </c>
      <c r="AK20" s="12">
        <f>AJ20/0.5*10</f>
        <v>67.2</v>
      </c>
      <c r="AL20" s="12">
        <v>5.51</v>
      </c>
      <c r="AM20" s="12">
        <f>AL20/0.5*10</f>
        <v>110.19999999999999</v>
      </c>
      <c r="AN20" s="12">
        <v>11.81</v>
      </c>
      <c r="AO20" s="12">
        <f>AN20/0.5*10</f>
        <v>236.20000000000002</v>
      </c>
      <c r="AP20" s="12">
        <v>18.940000000000001</v>
      </c>
      <c r="AQ20" s="12">
        <f>AP20/0.5*10</f>
        <v>378.8</v>
      </c>
      <c r="AR20" s="12">
        <v>15.56</v>
      </c>
      <c r="AS20" s="12">
        <f>AR20/0.5*20</f>
        <v>622.4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17.559999999999999</v>
      </c>
      <c r="C21" s="30">
        <f>B21/AVERAGE($Q10,$P10)</f>
        <v>0.71078729002226271</v>
      </c>
      <c r="D21" s="12">
        <v>17.95</v>
      </c>
      <c r="E21" s="30">
        <f>D21/AVERAGE($Q10,$P10)</f>
        <v>0.72657356810362272</v>
      </c>
      <c r="F21" s="12">
        <v>18.41</v>
      </c>
      <c r="G21" s="30">
        <f>F21/AVERAGE($Q10,$P10)</f>
        <v>0.74519328071240643</v>
      </c>
      <c r="H21" s="34"/>
      <c r="I21" s="12">
        <f>AVERAGE(D21,F21)</f>
        <v>18.18</v>
      </c>
      <c r="J21" s="30">
        <f>STDEV(D21,F21)/I21</f>
        <v>1.7891590723091995E-2</v>
      </c>
      <c r="L21" t="s">
        <v>6</v>
      </c>
      <c r="M21" s="12">
        <v>6.5</v>
      </c>
      <c r="N21" s="12">
        <v>9.34</v>
      </c>
      <c r="O21" s="140">
        <f>M21/0.5</f>
        <v>13</v>
      </c>
      <c r="P21" s="140">
        <f>N21/0.5</f>
        <v>18.68</v>
      </c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1.84</v>
      </c>
      <c r="AK21" s="12">
        <f>AJ21/0.5*10</f>
        <v>36.800000000000004</v>
      </c>
      <c r="AL21" s="12">
        <v>3.1</v>
      </c>
      <c r="AM21" s="12">
        <f>AL21/0.5*10</f>
        <v>62</v>
      </c>
      <c r="AN21" s="12">
        <v>5.88</v>
      </c>
      <c r="AO21" s="12">
        <f>AN21/0.5*10</f>
        <v>117.6</v>
      </c>
      <c r="AP21" s="12">
        <v>14.87</v>
      </c>
      <c r="AQ21" s="12">
        <f>AP21/0.5*10</f>
        <v>297.39999999999998</v>
      </c>
      <c r="AR21" s="12">
        <v>16.420000000000002</v>
      </c>
      <c r="AS21" s="12">
        <f>AR21/0.5*20</f>
        <v>656.80000000000007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13">
        <f>B20+B21</f>
        <v>26.369999999999997</v>
      </c>
      <c r="C22" s="30">
        <f>B22/AVERAGE($Q11,$P11)</f>
        <v>0.73813855843247012</v>
      </c>
      <c r="D22" s="52">
        <f>SUM(D$21+D$20)</f>
        <v>27.32</v>
      </c>
      <c r="E22" s="30">
        <f>D22/AVERAGE($Q11,$P11)</f>
        <v>0.76473058082575229</v>
      </c>
      <c r="F22" s="138">
        <f>F20+F21</f>
        <v>27.93</v>
      </c>
      <c r="G22" s="30">
        <f>F22/AVERAGE($Q11,$P11)</f>
        <v>0.78180545836249127</v>
      </c>
      <c r="H22" s="34"/>
      <c r="I22" s="274">
        <f>AVERAGE(D22,F22)</f>
        <v>27.625</v>
      </c>
      <c r="J22" s="30">
        <f>STDEV(D22,F22)/I22</f>
        <v>1.5613941593621486E-2</v>
      </c>
      <c r="L22" t="s">
        <v>17</v>
      </c>
      <c r="M22" s="140"/>
      <c r="N22" s="140"/>
      <c r="O22" s="140">
        <f>SUM(O20,O21)</f>
        <v>20.18</v>
      </c>
      <c r="P22" s="140">
        <f>SUM(P20,P21)</f>
        <v>28.799999999999997</v>
      </c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2">
        <f>SUM(AJ20,AJ21)</f>
        <v>5.2</v>
      </c>
      <c r="AK22">
        <f>AJ22/0.5*10</f>
        <v>104</v>
      </c>
      <c r="AL22" s="12">
        <f>SUM(AL20,AL21)</f>
        <v>8.61</v>
      </c>
      <c r="AM22" s="12">
        <f>AL22/0.5*10</f>
        <v>172.2</v>
      </c>
      <c r="AN22" s="13">
        <f>SUM(AN20,AN21)</f>
        <v>17.690000000000001</v>
      </c>
      <c r="AO22" s="12">
        <f>AN22/0.5*10</f>
        <v>353.8</v>
      </c>
      <c r="AP22" s="13">
        <f>SUM(AP20,AP21)</f>
        <v>33.81</v>
      </c>
      <c r="AQ22" s="12">
        <f>AP22/0.5*10</f>
        <v>676.2</v>
      </c>
      <c r="AR22" s="13">
        <f>SUM(AR20,AR21)</f>
        <v>31.980000000000004</v>
      </c>
      <c r="AS22" s="12">
        <f>AR22/0.5*20</f>
        <v>1279.2000000000003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99">
        <f>AK22/AJ24</f>
        <v>0.20799999999999999</v>
      </c>
      <c r="AL23" s="31"/>
      <c r="AM23" s="99">
        <f>AM22/AL24</f>
        <v>0.17219999999999999</v>
      </c>
      <c r="AN23" s="31"/>
      <c r="AO23" s="99">
        <f>AO22/AN24</f>
        <v>0.1769</v>
      </c>
      <c r="AP23" s="31"/>
      <c r="AQ23" s="99">
        <f>AQ22/AP24</f>
        <v>0.22540000000000002</v>
      </c>
      <c r="AR23" s="31"/>
      <c r="AS23" s="99">
        <f>AS22/AR24</f>
        <v>0.31980000000000008</v>
      </c>
      <c r="AT23" s="2">
        <f>AVERAGE(AK23,AM23,AO23,AQ23,AS23)</f>
        <v>0.22046000000000002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98">
        <f>ABS(B22-B24)/B24</f>
        <v>0.34075000000000005</v>
      </c>
      <c r="C25" s="33"/>
      <c r="D25" s="98">
        <f>ABS(D22-D24)/D24</f>
        <v>0.317</v>
      </c>
      <c r="E25" s="34"/>
      <c r="F25" s="98">
        <f>ABS(F22-F24)/F24</f>
        <v>0.30175000000000002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29">
        <f>ABS(AK22-AJ24)/AJ24</f>
        <v>0.79200000000000004</v>
      </c>
      <c r="AK25" s="23"/>
      <c r="AL25" s="29">
        <f>ABS(AM22-AL24)/AL24</f>
        <v>0.82779999999999998</v>
      </c>
      <c r="AM25" s="38"/>
      <c r="AN25" s="29">
        <f>ABS(AO22-AN24)/AN24</f>
        <v>0.82310000000000005</v>
      </c>
      <c r="AO25" s="38"/>
      <c r="AP25" s="29">
        <f>ABS(AQ22-AP24)/AP24</f>
        <v>0.77460000000000007</v>
      </c>
      <c r="AQ25" s="38"/>
      <c r="AR25" s="29">
        <f>ABS(AS22-AR24)/AR24</f>
        <v>0.68019999999999992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M26" s="35"/>
      <c r="N26" s="35"/>
      <c r="T26" s="35"/>
      <c r="AX26" s="35"/>
      <c r="AY26" s="35"/>
      <c r="AZ26" s="35"/>
      <c r="BA26" s="35"/>
      <c r="BB26" s="35"/>
      <c r="BC26" s="35"/>
    </row>
    <row r="27" spans="1:132" x14ac:dyDescent="0.25"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132" x14ac:dyDescent="0.25">
      <c r="A29" t="s">
        <v>3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132" x14ac:dyDescent="0.25">
      <c r="A31" t="s">
        <v>24</v>
      </c>
      <c r="V31" s="16"/>
      <c r="W31" s="17"/>
      <c r="X31" s="18"/>
      <c r="Y31" s="60"/>
      <c r="Z31" s="18"/>
      <c r="AA31" s="60"/>
      <c r="AB31" s="18"/>
      <c r="AC31" s="60"/>
      <c r="AD31" s="18"/>
      <c r="AE31" s="60"/>
      <c r="AF31" s="18"/>
      <c r="AG31" s="16"/>
    </row>
    <row r="32" spans="1:132" x14ac:dyDescent="0.25">
      <c r="A32" t="s">
        <v>25</v>
      </c>
      <c r="V32" s="16"/>
      <c r="W32" s="16"/>
      <c r="X32" s="23"/>
      <c r="Y32" s="16"/>
      <c r="Z32" s="23"/>
      <c r="AA32" s="16"/>
      <c r="AB32" s="23"/>
      <c r="AC32" s="16"/>
      <c r="AD32" s="23"/>
      <c r="AE32" s="16"/>
      <c r="AF32" s="23"/>
      <c r="AG32" s="16"/>
    </row>
    <row r="33" spans="1:33" x14ac:dyDescent="0.25">
      <c r="V33" s="16"/>
      <c r="W33" s="16"/>
      <c r="X33" s="38"/>
      <c r="Y33" s="16"/>
      <c r="Z33" s="38"/>
      <c r="AA33" s="16"/>
      <c r="AB33" s="38"/>
      <c r="AC33" s="16"/>
      <c r="AD33" s="23"/>
      <c r="AE33" s="16"/>
      <c r="AF33" s="23"/>
      <c r="AG33" s="16"/>
    </row>
    <row r="34" spans="1:33" x14ac:dyDescent="0.25">
      <c r="A34" t="s">
        <v>23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x14ac:dyDescent="0.25">
      <c r="A35" t="s">
        <v>18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x14ac:dyDescent="0.25">
      <c r="V36" s="16"/>
      <c r="W36" s="19"/>
      <c r="X36" s="16"/>
      <c r="Y36" s="19"/>
      <c r="Z36" s="16"/>
      <c r="AA36" s="19"/>
      <c r="AB36" s="16"/>
      <c r="AC36" s="19"/>
      <c r="AD36" s="16"/>
      <c r="AE36" s="19"/>
      <c r="AF36" s="16"/>
      <c r="AG36" s="16"/>
    </row>
    <row r="37" spans="1:33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1:33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33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</row>
    <row r="40" spans="1:33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33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</row>
    <row r="43" spans="1:33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</row>
    <row r="44" spans="1:33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</row>
    <row r="45" spans="1:33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</row>
    <row r="49" spans="22:33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</row>
    <row r="50" spans="22:33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  <ignoredErrors>
    <ignoredError sqref="AK11:AL11 C11:D11 D22 F22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59999389629810485"/>
  </sheetPr>
  <dimension ref="A1:T27"/>
  <sheetViews>
    <sheetView zoomScale="60" zoomScaleNormal="60" workbookViewId="0">
      <selection activeCell="G4" sqref="G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0.71</v>
      </c>
      <c r="C4" s="119">
        <v>0.62</v>
      </c>
      <c r="D4" s="119">
        <v>0.77</v>
      </c>
      <c r="E4" s="143">
        <v>0.85</v>
      </c>
      <c r="F4" s="123">
        <v>0.72</v>
      </c>
      <c r="G4" s="123">
        <v>0.82</v>
      </c>
      <c r="H4" s="122">
        <v>0.7</v>
      </c>
      <c r="I4" s="123">
        <v>0.81</v>
      </c>
      <c r="J4" s="126">
        <v>0.66</v>
      </c>
      <c r="K4" s="126">
        <v>0.8</v>
      </c>
      <c r="L4" s="126">
        <v>0.8</v>
      </c>
      <c r="M4" s="126">
        <v>1</v>
      </c>
      <c r="N4" s="126">
        <v>0.91</v>
      </c>
      <c r="O4" s="126">
        <v>0.72</v>
      </c>
      <c r="P4" s="126">
        <v>0.74</v>
      </c>
      <c r="Q4" s="126">
        <v>0.73</v>
      </c>
      <c r="R4" s="126">
        <v>0.63</v>
      </c>
      <c r="S4" s="126">
        <v>0.75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3">
      <c r="A10" s="116" t="s">
        <v>96</v>
      </c>
      <c r="B10" s="154" t="s">
        <v>354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2">
        <v>251</v>
      </c>
      <c r="L10" s="12">
        <v>366.5</v>
      </c>
      <c r="M10" s="12">
        <v>1057.5</v>
      </c>
      <c r="N10" s="71">
        <v>1276.4000000000001</v>
      </c>
      <c r="O10" s="12">
        <v>1536</v>
      </c>
      <c r="P10" s="16"/>
      <c r="Q10" s="16"/>
      <c r="R10" s="16"/>
    </row>
    <row r="11" spans="1:20" ht="39" customHeight="1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ht="0.75" customHeight="1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76.5" customHeight="1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 tint="0.59999389629810485"/>
  </sheetPr>
  <dimension ref="A2:GW50"/>
  <sheetViews>
    <sheetView zoomScale="70" zoomScaleNormal="70" zoomScaleSheetLayoutView="40" workbookViewId="0">
      <pane xSplit="1" topLeftCell="AI1" activePane="topRight" state="frozen"/>
      <selection pane="topRight" activeCell="T7" sqref="T7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7.5703125" customWidth="1"/>
    <col min="13" max="19" width="10.7109375" customWidth="1"/>
    <col min="20" max="20" width="11.7109375" customWidth="1"/>
    <col min="22" max="22" width="11.5703125" customWidth="1"/>
    <col min="24" max="24" width="13.5703125" customWidth="1"/>
    <col min="25" max="25" width="10.85546875" bestFit="1" customWidth="1"/>
    <col min="26" max="26" width="9.42578125" customWidth="1"/>
    <col min="27" max="27" width="9.85546875" customWidth="1"/>
    <col min="28" max="28" width="9" customWidth="1"/>
    <col min="29" max="29" width="8.5703125" customWidth="1"/>
    <col min="30" max="31" width="9.5703125" customWidth="1"/>
    <col min="32" max="32" width="10.5703125" customWidth="1"/>
    <col min="33" max="33" width="9.42578125" customWidth="1"/>
    <col min="34" max="34" width="10.7109375" customWidth="1"/>
    <col min="35" max="35" width="10.5703125" customWidth="1"/>
    <col min="36" max="36" width="13.140625" customWidth="1"/>
    <col min="37" max="37" width="17.85546875" customWidth="1"/>
    <col min="38" max="38" width="12.42578125" customWidth="1"/>
    <col min="39" max="39" width="10.5703125" customWidth="1"/>
    <col min="40" max="40" width="14.28515625" customWidth="1"/>
    <col min="41" max="41" width="10.5703125" customWidth="1"/>
    <col min="42" max="42" width="12.85546875" customWidth="1"/>
    <col min="43" max="45" width="10.5703125" customWidth="1"/>
    <col min="46" max="46" width="12.85546875" customWidth="1"/>
    <col min="47" max="47" width="10.5703125" customWidth="1"/>
    <col min="48" max="48" width="14.5703125" customWidth="1"/>
    <col min="49" max="49" width="10.5703125" customWidth="1"/>
    <col min="50" max="50" width="10.7109375" customWidth="1"/>
    <col min="51" max="55" width="10.5703125" customWidth="1"/>
    <col min="56" max="56" width="13.140625" customWidth="1"/>
    <col min="57" max="57" width="10.5703125" customWidth="1"/>
    <col min="58" max="58" width="14.42578125" customWidth="1"/>
    <col min="59" max="65" width="11.140625" customWidth="1"/>
    <col min="66" max="66" width="12.85546875" customWidth="1"/>
    <col min="67" max="69" width="11.140625" customWidth="1"/>
    <col min="70" max="70" width="11.42578125" customWidth="1"/>
    <col min="71" max="71" width="10.140625" customWidth="1"/>
    <col min="72" max="72" width="11.42578125" customWidth="1"/>
    <col min="73" max="73" width="11.85546875" customWidth="1"/>
    <col min="74" max="74" width="11.28515625" customWidth="1"/>
    <col min="77" max="77" width="9.28515625" customWidth="1"/>
    <col min="78" max="78" width="13.5703125" customWidth="1"/>
    <col min="79" max="79" width="9.28515625" customWidth="1"/>
    <col min="80" max="80" width="13.7109375" customWidth="1"/>
    <col min="81" max="81" width="12.7109375" customWidth="1"/>
    <col min="82" max="82" width="14.42578125" customWidth="1"/>
    <col min="83" max="83" width="12.85546875" customWidth="1"/>
    <col min="85" max="85" width="11.42578125" customWidth="1"/>
    <col min="89" max="89" width="12" customWidth="1"/>
    <col min="91" max="91" width="12" customWidth="1"/>
    <col min="95" max="95" width="12" customWidth="1"/>
    <col min="97" max="97" width="11.85546875" customWidth="1"/>
    <col min="99" max="99" width="11.42578125" customWidth="1"/>
    <col min="101" max="101" width="11.28515625" customWidth="1"/>
    <col min="103" max="103" width="12.7109375" customWidth="1"/>
    <col min="109" max="109" width="8.28515625" customWidth="1"/>
    <col min="111" max="111" width="21.85546875" customWidth="1"/>
    <col min="124" max="124" width="20" customWidth="1"/>
    <col min="163" max="165" width="10.5703125" customWidth="1"/>
  </cols>
  <sheetData>
    <row r="2" spans="1:205" ht="15.75" customHeight="1" x14ac:dyDescent="0.25"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DJ2" s="9"/>
    </row>
    <row r="3" spans="1:205" ht="17.25" customHeight="1" x14ac:dyDescent="0.25">
      <c r="A3" t="s">
        <v>204</v>
      </c>
      <c r="V3" s="1"/>
      <c r="X3" s="19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9"/>
      <c r="BV3" s="16"/>
      <c r="BW3" s="19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</row>
    <row r="4" spans="1:205" x14ac:dyDescent="0.25">
      <c r="A4" s="102">
        <v>43902</v>
      </c>
      <c r="V4" s="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9"/>
      <c r="BV4" s="16"/>
      <c r="BW4" s="19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</row>
    <row r="5" spans="1:205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</row>
    <row r="6" spans="1:205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205</v>
      </c>
      <c r="P6" s="50" t="s">
        <v>111</v>
      </c>
      <c r="Q6" s="50" t="s">
        <v>112</v>
      </c>
      <c r="R6" s="50" t="s">
        <v>113</v>
      </c>
      <c r="S6" s="50" t="s">
        <v>206</v>
      </c>
      <c r="T6" s="51" t="s">
        <v>31</v>
      </c>
      <c r="U6" s="50" t="s">
        <v>30</v>
      </c>
      <c r="V6" s="17"/>
      <c r="W6" s="17"/>
      <c r="X6" s="18"/>
      <c r="Y6" s="24" t="s">
        <v>142</v>
      </c>
      <c r="Z6" s="25" t="s">
        <v>16</v>
      </c>
      <c r="AA6" s="26">
        <v>1000</v>
      </c>
      <c r="AB6" s="25" t="s">
        <v>16</v>
      </c>
      <c r="AC6" s="26" t="s">
        <v>144</v>
      </c>
      <c r="AD6" s="25" t="s">
        <v>16</v>
      </c>
      <c r="AE6" s="26" t="s">
        <v>146</v>
      </c>
      <c r="AF6" s="25" t="s">
        <v>16</v>
      </c>
      <c r="AG6" s="26" t="s">
        <v>147</v>
      </c>
      <c r="AH6" s="25" t="s">
        <v>16</v>
      </c>
      <c r="AI6" s="17"/>
      <c r="AJ6" s="17"/>
      <c r="AK6" s="18"/>
      <c r="AL6" s="24" t="s">
        <v>137</v>
      </c>
      <c r="AM6" s="25" t="s">
        <v>16</v>
      </c>
      <c r="AN6" s="26" t="s">
        <v>74</v>
      </c>
      <c r="AO6" s="25" t="s">
        <v>16</v>
      </c>
      <c r="AP6" s="26" t="s">
        <v>138</v>
      </c>
      <c r="AQ6" s="25" t="s">
        <v>16</v>
      </c>
      <c r="AR6" s="26" t="s">
        <v>73</v>
      </c>
      <c r="AS6" s="25" t="s">
        <v>16</v>
      </c>
      <c r="AT6" s="26" t="s">
        <v>139</v>
      </c>
      <c r="AU6" s="25" t="s">
        <v>16</v>
      </c>
      <c r="AV6" s="17"/>
      <c r="AW6" s="27" t="s">
        <v>54</v>
      </c>
      <c r="AX6" s="24"/>
      <c r="AY6" s="27" t="s">
        <v>55</v>
      </c>
      <c r="AZ6" s="24"/>
      <c r="BA6" s="18"/>
      <c r="BB6" s="17"/>
      <c r="BE6" s="18"/>
      <c r="BF6" s="63"/>
      <c r="BG6" s="18"/>
      <c r="BH6" s="64"/>
      <c r="BI6" s="18"/>
      <c r="BJ6" s="64"/>
      <c r="BK6" s="18"/>
      <c r="BL6" s="17"/>
      <c r="BM6" s="63"/>
      <c r="BN6" s="63"/>
      <c r="BO6" s="17"/>
      <c r="BP6" s="65"/>
      <c r="BQ6" s="18"/>
      <c r="BR6" s="64"/>
      <c r="BS6" s="18"/>
      <c r="BT6" s="64"/>
      <c r="BU6" s="18"/>
      <c r="BV6" s="17"/>
      <c r="BW6" s="63"/>
      <c r="BX6" s="63"/>
      <c r="BY6" s="16"/>
      <c r="BZ6" s="65"/>
      <c r="CA6" s="18"/>
      <c r="CB6" s="64"/>
      <c r="CC6" s="18"/>
      <c r="CD6" s="64"/>
      <c r="CE6" s="18"/>
      <c r="CF6" s="17"/>
      <c r="CG6" s="63"/>
      <c r="CH6" s="63"/>
      <c r="CI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6"/>
      <c r="DF6" s="4"/>
      <c r="DG6" s="4"/>
      <c r="DH6" s="4"/>
      <c r="DI6" s="4"/>
      <c r="DL6" s="4"/>
      <c r="DM6" s="4"/>
      <c r="DN6" s="4"/>
      <c r="DO6" s="4"/>
      <c r="DP6" s="4"/>
      <c r="DQ6" s="4"/>
      <c r="DR6" s="4"/>
      <c r="DS6" s="4"/>
      <c r="DU6" s="4"/>
      <c r="DV6" s="4"/>
      <c r="DW6" s="4"/>
      <c r="DX6" s="4"/>
      <c r="DY6" s="4"/>
      <c r="DZ6" s="4"/>
      <c r="EC6" s="4"/>
      <c r="ED6" s="4"/>
      <c r="EE6" s="4"/>
      <c r="EF6" s="4"/>
      <c r="EG6" s="4"/>
      <c r="EH6" s="4"/>
      <c r="EI6" s="4"/>
      <c r="EJ6" s="4"/>
      <c r="EM6" s="4"/>
      <c r="EN6" s="4"/>
      <c r="EO6" s="4"/>
      <c r="EP6" s="4"/>
      <c r="EQ6" s="4"/>
      <c r="ER6" s="4"/>
      <c r="ES6" s="4"/>
      <c r="ET6" s="4"/>
      <c r="EU6" s="4"/>
      <c r="EV6" s="4"/>
      <c r="EX6" s="4"/>
      <c r="EY6" s="4"/>
      <c r="EZ6" s="4"/>
      <c r="FA6" s="4"/>
      <c r="FB6" s="4"/>
      <c r="FC6" s="4"/>
      <c r="FD6" s="4"/>
      <c r="FE6" s="4"/>
      <c r="FF6" s="4"/>
      <c r="FG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I6" s="4"/>
      <c r="GJ6" s="4"/>
      <c r="GK6" s="4"/>
      <c r="GL6" s="4"/>
      <c r="GM6" s="4"/>
      <c r="GN6" s="4"/>
      <c r="GO6" s="4"/>
      <c r="GP6" s="4"/>
      <c r="GQ6" s="4"/>
      <c r="GR6" s="4"/>
      <c r="GT6" s="4"/>
    </row>
    <row r="7" spans="1:205" ht="15.75" x14ac:dyDescent="0.25">
      <c r="A7" t="s">
        <v>5</v>
      </c>
      <c r="B7" s="12">
        <v>1.77</v>
      </c>
      <c r="C7" s="29">
        <f>B7/AVERAGE($M7,$O7)</f>
        <v>4.4299837316981609E-2</v>
      </c>
      <c r="D7" s="12">
        <v>1.79</v>
      </c>
      <c r="E7" s="29">
        <f>D7/AVERAGE($M7,$O7)</f>
        <v>4.4800400450506823E-2</v>
      </c>
      <c r="F7" s="12">
        <v>1.75</v>
      </c>
      <c r="G7" s="29">
        <f>F7/AVERAGE($M7,$O7)</f>
        <v>4.3799274183456388E-2</v>
      </c>
      <c r="H7" s="33"/>
      <c r="I7" s="12">
        <f>AVERAGE(B7,D7,F7)</f>
        <v>1.7700000000000002</v>
      </c>
      <c r="J7" s="30">
        <f>STDEV(B7,D7,F7)/I7</f>
        <v>1.1299435028248596E-2</v>
      </c>
      <c r="K7" s="19"/>
      <c r="L7" s="12">
        <v>39.6</v>
      </c>
      <c r="M7" s="12">
        <v>39.909999999999997</v>
      </c>
      <c r="N7" s="12">
        <v>39.53</v>
      </c>
      <c r="O7" s="12">
        <v>40</v>
      </c>
      <c r="P7" s="12">
        <v>40.450000000000003</v>
      </c>
      <c r="Q7" s="12">
        <v>40.659999999999997</v>
      </c>
      <c r="R7" s="12">
        <v>41.38</v>
      </c>
      <c r="S7" s="12">
        <v>40.92</v>
      </c>
      <c r="T7" s="141">
        <f>AVERAGE(L7:S7)</f>
        <v>40.306250000000006</v>
      </c>
      <c r="U7" s="54">
        <f>ABS(L7-P7)/AVERAGE(P7,L7)</f>
        <v>2.1236727045596534E-2</v>
      </c>
      <c r="V7" s="38"/>
      <c r="W7" s="38"/>
      <c r="X7" s="16"/>
      <c r="Y7" s="12">
        <v>1.76</v>
      </c>
      <c r="Z7" s="29">
        <f>Y7/AVERAGE($M7,$O7)</f>
        <v>4.4049555750218995E-2</v>
      </c>
      <c r="AA7" s="12">
        <v>1.75</v>
      </c>
      <c r="AB7" s="29">
        <f>AA7/AVERAGE($M7,$O7)</f>
        <v>4.3799274183456388E-2</v>
      </c>
      <c r="AC7" s="12">
        <v>1.78</v>
      </c>
      <c r="AD7" s="29">
        <f>AC7/AVERAGE($M7,$O7)</f>
        <v>4.4550118883744216E-2</v>
      </c>
      <c r="AE7" s="12">
        <v>1.79</v>
      </c>
      <c r="AF7" s="29">
        <f>AE7/AVERAGE($M7,$O7)</f>
        <v>4.4800400450506823E-2</v>
      </c>
      <c r="AG7" s="12">
        <v>1.89</v>
      </c>
      <c r="AH7" s="29">
        <f>AG7/AVERAGE($M7,$O7)</f>
        <v>4.7303216118132901E-2</v>
      </c>
      <c r="AI7" s="16"/>
      <c r="AJ7" s="38"/>
      <c r="AK7" s="20"/>
      <c r="AL7" s="12" t="s">
        <v>158</v>
      </c>
      <c r="AM7" s="29" t="e">
        <f>AL7*10/AVERAGE($L7,$M7)</f>
        <v>#VALUE!</v>
      </c>
      <c r="AN7" s="12" t="s">
        <v>158</v>
      </c>
      <c r="AO7" s="29" t="e">
        <f>AN7*10/AVERAGE($L7,$M7)</f>
        <v>#VALUE!</v>
      </c>
      <c r="AP7" s="12" t="s">
        <v>158</v>
      </c>
      <c r="AQ7" s="29" t="e">
        <f>AP7*10/AVERAGE($L7,$M7)</f>
        <v>#VALUE!</v>
      </c>
      <c r="AR7" s="12" t="s">
        <v>158</v>
      </c>
      <c r="AS7" s="29" t="e">
        <f>AR7*10/AVERAGE($L7,$M7)</f>
        <v>#VALUE!</v>
      </c>
      <c r="AT7" s="12" t="s">
        <v>158</v>
      </c>
      <c r="AU7" s="29" t="e">
        <f>AT7*20/AVERAGE($L7,$M7)</f>
        <v>#VALUE!</v>
      </c>
      <c r="AV7" s="43"/>
      <c r="AW7" s="12">
        <v>1.8</v>
      </c>
      <c r="AX7" s="29">
        <f>AW7/AVERAGE($L7,$M7)</f>
        <v>4.5277323607093453E-2</v>
      </c>
      <c r="AY7" s="12">
        <v>1.89</v>
      </c>
      <c r="AZ7" s="29">
        <f>AY7/AVERAGE($L7,$M7)</f>
        <v>4.7541189787448125E-2</v>
      </c>
      <c r="BA7" s="16"/>
      <c r="BB7" s="23"/>
      <c r="BE7" s="20"/>
      <c r="BF7" s="43"/>
      <c r="BG7" s="23"/>
      <c r="BH7" s="16"/>
      <c r="BI7" s="23"/>
      <c r="BJ7" s="16"/>
      <c r="BK7" s="23"/>
      <c r="BL7" s="23"/>
      <c r="BM7" s="16"/>
      <c r="BN7" s="38"/>
      <c r="BO7" s="16"/>
      <c r="BP7" s="43"/>
      <c r="BQ7" s="23"/>
      <c r="BR7" s="16"/>
      <c r="BS7" s="23"/>
      <c r="BT7" s="16"/>
      <c r="BU7" s="23"/>
      <c r="BV7" s="23"/>
      <c r="BW7" s="16"/>
      <c r="BX7" s="38"/>
      <c r="BY7" s="20"/>
      <c r="BZ7" s="43"/>
      <c r="CA7" s="23"/>
      <c r="CB7" s="16"/>
      <c r="CC7" s="23"/>
      <c r="CD7" s="16"/>
      <c r="CE7" s="23"/>
      <c r="CF7" s="23"/>
      <c r="CG7" s="16"/>
      <c r="CH7" s="38"/>
      <c r="CI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6"/>
      <c r="CZ7" s="20"/>
      <c r="DA7" s="19"/>
      <c r="DB7" s="19"/>
      <c r="DC7" s="19"/>
      <c r="DD7" s="19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5"/>
      <c r="EZ7" s="8"/>
      <c r="FB7" s="8"/>
      <c r="FD7" s="8"/>
      <c r="FF7" s="1"/>
      <c r="FG7" s="8"/>
      <c r="FH7" s="2"/>
      <c r="FI7" s="5"/>
      <c r="FK7" s="8"/>
      <c r="FM7" s="8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</row>
    <row r="8" spans="1:205" ht="15.75" x14ac:dyDescent="0.25">
      <c r="A8" t="s">
        <v>9</v>
      </c>
      <c r="B8" s="12">
        <v>28.04</v>
      </c>
      <c r="C8" s="30">
        <f>B8/AVERAGE($M8,$O8)</f>
        <v>0.7079020449381469</v>
      </c>
      <c r="D8" s="12">
        <v>24.4</v>
      </c>
      <c r="E8" s="29">
        <f>D8/AVERAGE($M8,$O8)</f>
        <v>0.61600605907599093</v>
      </c>
      <c r="F8" s="12">
        <v>30.36</v>
      </c>
      <c r="G8" s="30">
        <f>F8/AVERAGE($M8,$O8)</f>
        <v>0.76647311285029029</v>
      </c>
      <c r="H8" s="34"/>
      <c r="I8" s="12">
        <f>AVERAGE(B8,D8,F8)</f>
        <v>27.599999999999998</v>
      </c>
      <c r="J8" s="30">
        <f>STDEV(B8,D8,F8)/I8</f>
        <v>0.10885013177174148</v>
      </c>
      <c r="K8" s="19"/>
      <c r="L8" s="12">
        <v>39.729999999999997</v>
      </c>
      <c r="M8" s="12">
        <v>39.729999999999997</v>
      </c>
      <c r="N8" s="12">
        <v>40.46</v>
      </c>
      <c r="O8" s="12">
        <v>39.49</v>
      </c>
      <c r="P8" s="12">
        <v>40.619999999999997</v>
      </c>
      <c r="Q8" s="12">
        <v>39.89</v>
      </c>
      <c r="R8" s="12">
        <v>40.64</v>
      </c>
      <c r="S8" s="12">
        <v>40.03</v>
      </c>
      <c r="T8" s="141">
        <f>AVERAGE(L8:S8)</f>
        <v>40.073750000000004</v>
      </c>
      <c r="U8" s="54">
        <f>ABS(L8-P8)/AVERAGE(P8,L8)</f>
        <v>2.2153080273802132E-2</v>
      </c>
      <c r="V8" s="38"/>
      <c r="W8" s="38"/>
      <c r="X8" s="16"/>
      <c r="Y8" s="12">
        <v>26.34</v>
      </c>
      <c r="Z8" s="29">
        <f>Y8/AVERAGE($M8,$O8)</f>
        <v>0.6649835900025246</v>
      </c>
      <c r="AA8" s="12">
        <v>31.84</v>
      </c>
      <c r="AB8" s="30">
        <f>AA8/AVERAGE($M8,$O8)</f>
        <v>0.80383741479424387</v>
      </c>
      <c r="AC8" s="12">
        <v>31.66</v>
      </c>
      <c r="AD8" s="30">
        <f>AC8/AVERAGE($M8,$O8)</f>
        <v>0.79929310780106033</v>
      </c>
      <c r="AE8" s="12">
        <v>39.47</v>
      </c>
      <c r="AF8" s="30">
        <f>AE8/AVERAGE($M8,$O8)</f>
        <v>0.99646553900530166</v>
      </c>
      <c r="AG8" s="12">
        <v>35.89</v>
      </c>
      <c r="AH8" s="30">
        <f>AG8/AVERAGE($M8,$O8)</f>
        <v>0.90608432214087353</v>
      </c>
      <c r="AI8" s="16"/>
      <c r="AJ8" s="23"/>
      <c r="AK8" s="20"/>
      <c r="AL8" s="12" t="s">
        <v>158</v>
      </c>
      <c r="AM8" s="30" t="e">
        <f>AL8*10/AVERAGE($L8,$M8)</f>
        <v>#VALUE!</v>
      </c>
      <c r="AN8" s="12" t="s">
        <v>158</v>
      </c>
      <c r="AO8" s="30" t="e">
        <f>AN8*10/AVERAGE($L8,$M8)</f>
        <v>#VALUE!</v>
      </c>
      <c r="AP8" s="12" t="s">
        <v>158</v>
      </c>
      <c r="AQ8" s="30" t="e">
        <f>AP8*10/AVERAGE($L8,$M8)</f>
        <v>#VALUE!</v>
      </c>
      <c r="AR8" s="12" t="s">
        <v>158</v>
      </c>
      <c r="AS8" s="30" t="e">
        <f>AR8*10/AVERAGE($L8,$M8)</f>
        <v>#VALUE!</v>
      </c>
      <c r="AT8" s="12" t="s">
        <v>158</v>
      </c>
      <c r="AU8" s="30" t="e">
        <f>AT8*20/AVERAGE($L8,$M8)</f>
        <v>#VALUE!</v>
      </c>
      <c r="AV8" s="43"/>
      <c r="AW8" s="12">
        <v>27.79</v>
      </c>
      <c r="AX8" s="30">
        <f>AW8/AVERAGE($L8,$M8)</f>
        <v>0.69947143216712815</v>
      </c>
      <c r="AY8" s="12">
        <v>32.51</v>
      </c>
      <c r="AZ8" s="30">
        <f>AY8/AVERAGE($P8,$Q8)</f>
        <v>0.807601540181344</v>
      </c>
      <c r="BA8" s="16"/>
      <c r="BB8" s="38"/>
      <c r="BE8" s="20"/>
      <c r="BF8" s="43"/>
      <c r="BG8" s="38"/>
      <c r="BH8" s="16"/>
      <c r="BI8" s="38"/>
      <c r="BJ8" s="16"/>
      <c r="BK8" s="38"/>
      <c r="BL8" s="38"/>
      <c r="BM8" s="16"/>
      <c r="BN8" s="38"/>
      <c r="BO8" s="16"/>
      <c r="BP8" s="43"/>
      <c r="BQ8" s="23"/>
      <c r="BR8" s="16"/>
      <c r="BS8" s="23"/>
      <c r="BT8" s="16"/>
      <c r="BU8" s="23"/>
      <c r="BV8" s="38"/>
      <c r="BW8" s="16"/>
      <c r="BX8" s="38"/>
      <c r="BY8" s="20"/>
      <c r="BZ8" s="43"/>
      <c r="CA8" s="23"/>
      <c r="CB8" s="16"/>
      <c r="CC8" s="23"/>
      <c r="CD8" s="16"/>
      <c r="CE8" s="23"/>
      <c r="CF8" s="38"/>
      <c r="CG8" s="16"/>
      <c r="CH8" s="38"/>
      <c r="CI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6"/>
      <c r="CZ8" s="20"/>
      <c r="DA8" s="19"/>
      <c r="DB8" s="19"/>
      <c r="DC8" s="19"/>
      <c r="DD8" s="19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5"/>
      <c r="EZ8" s="8"/>
      <c r="FB8" s="8"/>
      <c r="FD8" s="8"/>
      <c r="FF8" s="1"/>
      <c r="FG8" s="8"/>
      <c r="FH8" s="2"/>
      <c r="FI8" s="5"/>
      <c r="FK8" s="8"/>
      <c r="FM8" s="8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</row>
    <row r="9" spans="1:205" ht="15.75" x14ac:dyDescent="0.25">
      <c r="A9" t="s">
        <v>7</v>
      </c>
      <c r="B9" s="12">
        <v>9.58</v>
      </c>
      <c r="C9" s="30">
        <f>B9/AVERAGE($M9,$O9)</f>
        <v>0.75462780622292236</v>
      </c>
      <c r="D9" s="12">
        <v>6.18</v>
      </c>
      <c r="E9" s="29">
        <f>D9/AVERAGE($M9,$O9)</f>
        <v>0.48680582906656161</v>
      </c>
      <c r="F9" s="12">
        <v>10.08</v>
      </c>
      <c r="G9" s="30">
        <f>F9/AVERAGE($M9,$O9)</f>
        <v>0.79401339109885782</v>
      </c>
      <c r="H9" s="34"/>
      <c r="I9" s="274">
        <f>AVERAGE(B9,D9,F9)</f>
        <v>8.6133333333333333</v>
      </c>
      <c r="J9" s="30">
        <f>STDEV(B9,D9,F9)/I9</f>
        <v>0.24637452078013933</v>
      </c>
      <c r="K9" s="16"/>
      <c r="L9" s="12">
        <v>13.16</v>
      </c>
      <c r="M9" s="12">
        <v>12.65</v>
      </c>
      <c r="N9" s="12">
        <v>12.64</v>
      </c>
      <c r="O9" s="12">
        <v>12.74</v>
      </c>
      <c r="P9" s="12">
        <v>13.61</v>
      </c>
      <c r="Q9" s="12">
        <v>13.07</v>
      </c>
      <c r="R9" s="12">
        <v>11.77</v>
      </c>
      <c r="S9" s="12">
        <v>12.51</v>
      </c>
      <c r="T9" s="141">
        <f>AVERAGE(L9:S9)</f>
        <v>12.768750000000001</v>
      </c>
      <c r="U9" s="54">
        <f>ABS(L9-P9)/AVERAGE(P9,L9)</f>
        <v>3.3619723571161698E-2</v>
      </c>
      <c r="V9" s="38"/>
      <c r="W9" s="38"/>
      <c r="X9" s="16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6"/>
      <c r="AJ9" s="45"/>
      <c r="AK9" s="43"/>
      <c r="AL9" s="12">
        <v>5.58</v>
      </c>
      <c r="AM9" s="12">
        <f>AL9/0.5*10</f>
        <v>111.6</v>
      </c>
      <c r="AN9" s="12">
        <v>7.14</v>
      </c>
      <c r="AO9" s="12">
        <f>AN9/0.5*10</f>
        <v>142.79999999999998</v>
      </c>
      <c r="AP9" s="12">
        <v>17.46</v>
      </c>
      <c r="AQ9" s="12">
        <f>AP9/0.5*10</f>
        <v>349.20000000000005</v>
      </c>
      <c r="AR9" s="12">
        <v>31.43</v>
      </c>
      <c r="AS9" s="12">
        <f>AR9/0.5*10</f>
        <v>628.6</v>
      </c>
      <c r="AT9" s="12">
        <v>24.13</v>
      </c>
      <c r="AU9" s="12">
        <f>AT9/0.5*20</f>
        <v>965.19999999999993</v>
      </c>
      <c r="AV9" s="45"/>
      <c r="AW9" s="12" t="s">
        <v>159</v>
      </c>
      <c r="AX9" s="12"/>
      <c r="AY9" s="12" t="s">
        <v>159</v>
      </c>
      <c r="AZ9" s="12"/>
      <c r="BA9" s="16"/>
      <c r="BB9" s="16"/>
      <c r="BE9" s="19"/>
      <c r="BF9" s="43"/>
      <c r="BG9" s="16"/>
      <c r="BH9" s="16"/>
      <c r="BI9" s="16"/>
      <c r="BJ9" s="16"/>
      <c r="BK9" s="16"/>
      <c r="BL9" s="38"/>
      <c r="BM9" s="16"/>
      <c r="BN9" s="38"/>
      <c r="BO9" s="16"/>
      <c r="BP9" s="43"/>
      <c r="BQ9" s="16"/>
      <c r="BR9" s="16"/>
      <c r="BS9" s="16"/>
      <c r="BT9" s="16"/>
      <c r="BU9" s="16"/>
      <c r="BV9" s="38"/>
      <c r="BW9" s="16"/>
      <c r="BX9" s="38"/>
      <c r="BY9" s="20"/>
      <c r="BZ9" s="43"/>
      <c r="CA9" s="16"/>
      <c r="CB9" s="16"/>
      <c r="CC9" s="16"/>
      <c r="CD9" s="16"/>
      <c r="CE9" s="16"/>
      <c r="CF9" s="38"/>
      <c r="CG9" s="16"/>
      <c r="CH9" s="38"/>
      <c r="CI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16"/>
      <c r="CZ9" s="19"/>
      <c r="DA9" s="46"/>
      <c r="DB9" s="16"/>
      <c r="DC9" s="46"/>
      <c r="DD9" s="45"/>
      <c r="DE9" s="2"/>
      <c r="DF9" s="2"/>
      <c r="DJ9" s="6"/>
      <c r="DK9" s="2"/>
      <c r="DM9" s="8"/>
      <c r="DO9" s="8"/>
      <c r="DP9" s="8"/>
      <c r="DQ9" s="8"/>
      <c r="DR9" s="8"/>
      <c r="DS9" s="8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5"/>
      <c r="EF9" s="1"/>
      <c r="EH9" s="1"/>
      <c r="EJ9" s="1"/>
      <c r="EK9" s="1"/>
      <c r="EL9" s="2"/>
      <c r="EM9" s="2"/>
      <c r="EO9" s="7"/>
      <c r="EQ9" s="7"/>
      <c r="ES9" s="7"/>
      <c r="EU9" s="7"/>
      <c r="EV9" s="7"/>
      <c r="EW9" s="7"/>
      <c r="EX9" s="7"/>
      <c r="EZ9" s="7"/>
      <c r="FB9" s="7"/>
      <c r="FD9" s="7"/>
      <c r="FF9" s="7"/>
      <c r="FG9" s="7"/>
      <c r="FH9" s="7"/>
      <c r="FI9" s="7"/>
      <c r="FK9" s="7"/>
      <c r="FM9" s="7"/>
      <c r="FO9" s="7"/>
      <c r="FQ9" s="7"/>
      <c r="FS9" s="7"/>
      <c r="FT9" s="7"/>
      <c r="FU9" s="7"/>
      <c r="FV9" s="7"/>
      <c r="FX9" s="7"/>
      <c r="FZ9" s="7"/>
      <c r="GB9" s="7"/>
      <c r="GD9" s="7"/>
      <c r="GF9" s="7"/>
      <c r="GG9" s="7"/>
      <c r="GH9" s="7"/>
      <c r="GI9" s="7"/>
      <c r="GK9" s="7"/>
      <c r="GM9" s="7"/>
      <c r="GO9" s="7"/>
      <c r="GQ9" s="7"/>
      <c r="GR9" s="2"/>
      <c r="GS9" s="2"/>
      <c r="GT9" s="2"/>
    </row>
    <row r="10" spans="1:205" ht="15.75" x14ac:dyDescent="0.25">
      <c r="A10" t="s">
        <v>6</v>
      </c>
      <c r="B10" s="12">
        <v>18.96</v>
      </c>
      <c r="C10" s="30">
        <f>B10/AVERAGE($M10,$O10)</f>
        <v>0.75253026394125822</v>
      </c>
      <c r="D10" s="12">
        <v>10.55</v>
      </c>
      <c r="E10" s="29">
        <f>D10/AVERAGE($M10,$O10)</f>
        <v>0.41873387576900178</v>
      </c>
      <c r="F10" s="12">
        <v>17.82</v>
      </c>
      <c r="G10" s="30">
        <f>F10/AVERAGE($M10,$O10)</f>
        <v>0.70728319110934712</v>
      </c>
      <c r="H10" s="34"/>
      <c r="I10" s="274">
        <f>AVERAGE(B10,D10,F10)</f>
        <v>15.776666666666666</v>
      </c>
      <c r="J10" s="30">
        <f>STDEV(B10,D10,F10)/I10</f>
        <v>0.28917224947898296</v>
      </c>
      <c r="K10" s="16"/>
      <c r="L10" s="12">
        <v>25.21</v>
      </c>
      <c r="M10" s="12">
        <v>25.4</v>
      </c>
      <c r="N10" s="12">
        <v>25.92</v>
      </c>
      <c r="O10" s="12">
        <v>24.99</v>
      </c>
      <c r="P10" s="12">
        <v>28.17</v>
      </c>
      <c r="Q10" s="12">
        <v>26.08</v>
      </c>
      <c r="R10" s="12">
        <v>24</v>
      </c>
      <c r="S10" s="12">
        <v>25.42</v>
      </c>
      <c r="T10" s="141">
        <f>AVERAGE(L10:S10)</f>
        <v>25.64875</v>
      </c>
      <c r="U10" s="54">
        <f>ABS(L10-P10)/AVERAGE(P10,L10)</f>
        <v>0.1109029599100787</v>
      </c>
      <c r="V10" s="38"/>
      <c r="W10" s="38"/>
      <c r="X10" s="16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6"/>
      <c r="AJ10" s="45"/>
      <c r="AK10" s="43"/>
      <c r="AL10" s="12">
        <v>10.55</v>
      </c>
      <c r="AM10" s="12">
        <f>AL10/0.5*10</f>
        <v>211</v>
      </c>
      <c r="AN10" s="12">
        <v>12.88</v>
      </c>
      <c r="AO10" s="12">
        <f>AN10/0.5*10</f>
        <v>257.60000000000002</v>
      </c>
      <c r="AP10" s="12">
        <v>31.46</v>
      </c>
      <c r="AQ10" s="12">
        <f>AP10/0.5*10</f>
        <v>629.20000000000005</v>
      </c>
      <c r="AR10" s="12">
        <v>58.7</v>
      </c>
      <c r="AS10" s="12">
        <f>AR10/0.5*10</f>
        <v>1174</v>
      </c>
      <c r="AT10" s="12">
        <v>46.97</v>
      </c>
      <c r="AU10" s="12">
        <f>AT10/0.5*20</f>
        <v>1878.8</v>
      </c>
      <c r="AV10" s="45"/>
      <c r="AW10" s="12" t="s">
        <v>159</v>
      </c>
      <c r="AX10" s="12"/>
      <c r="AY10" s="12" t="s">
        <v>159</v>
      </c>
      <c r="AZ10" s="12"/>
      <c r="BA10" s="16"/>
      <c r="BB10" s="16"/>
      <c r="BE10" s="19"/>
      <c r="BF10" s="43"/>
      <c r="BG10" s="16"/>
      <c r="BH10" s="16"/>
      <c r="BI10" s="16"/>
      <c r="BJ10" s="16"/>
      <c r="BK10" s="16"/>
      <c r="BL10" s="38"/>
      <c r="BM10" s="16"/>
      <c r="BN10" s="38"/>
      <c r="BO10" s="16"/>
      <c r="BP10" s="43"/>
      <c r="BQ10" s="16"/>
      <c r="BR10" s="16"/>
      <c r="BS10" s="16"/>
      <c r="BT10" s="16"/>
      <c r="BU10" s="16"/>
      <c r="BV10" s="38"/>
      <c r="BW10" s="16"/>
      <c r="BX10" s="38"/>
      <c r="BY10" s="20"/>
      <c r="BZ10" s="43"/>
      <c r="CA10" s="16"/>
      <c r="CB10" s="16"/>
      <c r="CC10" s="16"/>
      <c r="CD10" s="16"/>
      <c r="CE10" s="16"/>
      <c r="CF10" s="38"/>
      <c r="CG10" s="16"/>
      <c r="CH10" s="38"/>
      <c r="CI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16"/>
      <c r="CZ10" s="19"/>
      <c r="DA10" s="46"/>
      <c r="DB10" s="16"/>
      <c r="DC10" s="46"/>
      <c r="DD10" s="45"/>
      <c r="DE10" s="2"/>
      <c r="DF10" s="2"/>
      <c r="DI10" s="1"/>
      <c r="DJ10" s="6"/>
      <c r="DK10" s="2"/>
      <c r="DM10" s="8"/>
      <c r="DO10" s="8"/>
      <c r="DP10" s="8"/>
      <c r="DQ10" s="8"/>
      <c r="DR10" s="8"/>
      <c r="DS10" s="8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5"/>
      <c r="EF10" s="1"/>
      <c r="EH10" s="1"/>
      <c r="EJ10" s="1"/>
      <c r="EK10" s="1"/>
      <c r="EL10" s="2"/>
      <c r="EM10" s="2"/>
      <c r="EO10" s="7"/>
      <c r="EQ10" s="7"/>
      <c r="ES10" s="7"/>
      <c r="EU10" s="7"/>
      <c r="EV10" s="7"/>
      <c r="EW10" s="7"/>
      <c r="EX10" s="7"/>
      <c r="EZ10" s="7"/>
      <c r="FB10" s="7"/>
      <c r="FD10" s="7"/>
      <c r="FF10" s="7"/>
      <c r="FG10" s="7"/>
      <c r="FH10" s="7"/>
      <c r="FI10" s="7"/>
      <c r="FK10" s="7"/>
      <c r="FM10" s="7"/>
      <c r="FO10" s="7"/>
      <c r="FQ10" s="7"/>
      <c r="FS10" s="7"/>
      <c r="FT10" s="7"/>
      <c r="FU10" s="7"/>
      <c r="FV10" s="7"/>
      <c r="FX10" s="7"/>
      <c r="FZ10" s="7"/>
      <c r="GB10" s="7"/>
      <c r="GD10" s="7"/>
      <c r="GF10" s="7"/>
      <c r="GG10" s="7"/>
      <c r="GH10" s="7"/>
      <c r="GI10" s="7"/>
      <c r="GK10" s="7"/>
      <c r="GM10" s="7"/>
      <c r="GO10" s="7"/>
      <c r="GQ10" s="7"/>
      <c r="GR10" s="2"/>
      <c r="GS10" s="2"/>
      <c r="GT10" s="2"/>
    </row>
    <row r="11" spans="1:205" ht="15.75" x14ac:dyDescent="0.25">
      <c r="A11" t="s">
        <v>17</v>
      </c>
      <c r="B11" s="52">
        <f>SUM(B9,B10)</f>
        <v>28.54</v>
      </c>
      <c r="C11" s="30">
        <f>B11/AVERAGE($M11,$O11)</f>
        <v>0.7532330430192663</v>
      </c>
      <c r="D11" s="52">
        <f>SUM(D9,D10)</f>
        <v>16.73</v>
      </c>
      <c r="E11" s="29">
        <f>D11/AVERAGE($M11,$O11)</f>
        <v>0.44154130377408285</v>
      </c>
      <c r="F11" s="52">
        <f>SUM(F10,F9)</f>
        <v>27.9</v>
      </c>
      <c r="G11" s="30">
        <f>F11/AVERAGE($M11,$O11)</f>
        <v>0.73634204275534432</v>
      </c>
      <c r="H11" s="34"/>
      <c r="I11" s="274">
        <f>AVERAGE(B11,D11)</f>
        <v>22.634999999999998</v>
      </c>
      <c r="J11" s="30">
        <f>STDEV(B11,D11,F11)/I11</f>
        <v>0.29341586972261546</v>
      </c>
      <c r="K11" s="19"/>
      <c r="L11" s="136">
        <f>SUM(L9,L10)</f>
        <v>38.370000000000005</v>
      </c>
      <c r="M11" s="136">
        <f t="shared" ref="M11:S11" si="0">SUM(M9,M10)</f>
        <v>38.049999999999997</v>
      </c>
      <c r="N11" s="136">
        <f t="shared" si="0"/>
        <v>38.56</v>
      </c>
      <c r="O11" s="136">
        <f t="shared" si="0"/>
        <v>37.729999999999997</v>
      </c>
      <c r="P11" s="136">
        <f t="shared" si="0"/>
        <v>41.78</v>
      </c>
      <c r="Q11" s="136">
        <f t="shared" si="0"/>
        <v>39.15</v>
      </c>
      <c r="R11" s="136">
        <f t="shared" si="0"/>
        <v>35.769999999999996</v>
      </c>
      <c r="S11" s="136">
        <f t="shared" si="0"/>
        <v>37.93</v>
      </c>
      <c r="T11" s="141">
        <f>AVERAGE(L11:S11)</f>
        <v>38.417500000000004</v>
      </c>
      <c r="U11" s="54">
        <f>ABS(L11-P11)/AVERAGE(P11,L11)</f>
        <v>8.5090455396132164E-2</v>
      </c>
      <c r="V11" s="38"/>
      <c r="W11" s="38"/>
      <c r="X11" s="16"/>
      <c r="Y11" s="13"/>
      <c r="Z11" s="12"/>
      <c r="AA11" s="13"/>
      <c r="AB11" s="12"/>
      <c r="AC11" s="13"/>
      <c r="AD11" s="12"/>
      <c r="AE11" s="13"/>
      <c r="AF11" s="12"/>
      <c r="AG11" s="13"/>
      <c r="AH11" s="12"/>
      <c r="AI11" s="16"/>
      <c r="AJ11" s="45"/>
      <c r="AK11" s="43"/>
      <c r="AL11" s="12">
        <f>SUM(AL9,AL10)</f>
        <v>16.130000000000003</v>
      </c>
      <c r="AM11" s="12">
        <f>AL11/0.5*10</f>
        <v>322.60000000000002</v>
      </c>
      <c r="AN11" s="12">
        <f>SUM(AN9,AN10)</f>
        <v>20.02</v>
      </c>
      <c r="AO11" s="12">
        <f>AN11/0.5*10</f>
        <v>400.4</v>
      </c>
      <c r="AP11" s="12">
        <f>SUM(AP9,AP10)</f>
        <v>48.92</v>
      </c>
      <c r="AQ11" s="12">
        <f>AP11/0.5*10</f>
        <v>978.40000000000009</v>
      </c>
      <c r="AR11" s="13">
        <f>SUM(AR9,AR10)</f>
        <v>90.13</v>
      </c>
      <c r="AS11" s="12">
        <f>AR11/0.5*10</f>
        <v>1802.6</v>
      </c>
      <c r="AT11" s="13">
        <f>SUM(AT9,AT10)</f>
        <v>71.099999999999994</v>
      </c>
      <c r="AU11" s="12">
        <f>AT11/0.5*20</f>
        <v>2844</v>
      </c>
      <c r="AV11" s="45" t="s">
        <v>81</v>
      </c>
      <c r="AW11" s="12"/>
      <c r="AX11" s="12"/>
      <c r="AY11" s="12"/>
      <c r="AZ11" s="12"/>
      <c r="BA11" s="16"/>
      <c r="BB11" s="16"/>
      <c r="BE11" s="19"/>
      <c r="BF11" s="19"/>
      <c r="BG11" s="16"/>
      <c r="BH11" s="19"/>
      <c r="BI11" s="16"/>
      <c r="BJ11" s="19"/>
      <c r="BK11" s="16"/>
      <c r="BL11" s="38"/>
      <c r="BM11" s="16"/>
      <c r="BN11" s="38"/>
      <c r="BO11" s="19"/>
      <c r="BP11" s="19"/>
      <c r="BQ11" s="16"/>
      <c r="BR11" s="19"/>
      <c r="BS11" s="16"/>
      <c r="BT11" s="19"/>
      <c r="BU11" s="16"/>
      <c r="BV11" s="38"/>
      <c r="BW11" s="16"/>
      <c r="BX11" s="38"/>
      <c r="BY11" s="20"/>
      <c r="BZ11" s="19"/>
      <c r="CA11" s="16"/>
      <c r="CB11" s="19"/>
      <c r="CC11" s="16"/>
      <c r="CD11" s="19"/>
      <c r="CE11" s="16"/>
      <c r="CF11" s="38"/>
      <c r="CG11" s="16"/>
      <c r="CH11" s="38"/>
      <c r="CI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46"/>
      <c r="DB11" s="16"/>
      <c r="DC11" s="46"/>
      <c r="DD11" s="45"/>
      <c r="DE11" s="2"/>
      <c r="DF11" s="2"/>
      <c r="DI11" s="1"/>
      <c r="DJ11" s="6"/>
      <c r="DK11" s="2"/>
      <c r="DM11" s="8"/>
      <c r="DO11" s="8"/>
      <c r="DP11" s="8"/>
      <c r="DQ11" s="8"/>
      <c r="DR11" s="8"/>
      <c r="DS11" s="8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5"/>
      <c r="EF11" s="1"/>
      <c r="EH11" s="1"/>
      <c r="EJ11" s="1"/>
      <c r="EK11" s="1"/>
      <c r="EL11" s="2"/>
      <c r="EM11" s="2"/>
      <c r="EO11" s="7"/>
      <c r="EQ11" s="7"/>
      <c r="ES11" s="7"/>
      <c r="EU11" s="7"/>
      <c r="EV11" s="7"/>
      <c r="EW11" s="7"/>
      <c r="EX11" s="7"/>
      <c r="EZ11" s="7"/>
      <c r="FB11" s="7"/>
      <c r="FD11" s="7"/>
      <c r="FF11" s="7"/>
      <c r="FG11" s="7"/>
      <c r="FH11" s="7"/>
      <c r="FI11" s="7"/>
      <c r="FK11" s="7"/>
      <c r="FM11" s="7"/>
      <c r="FO11" s="7"/>
      <c r="FQ11" s="7"/>
      <c r="FS11" s="7"/>
      <c r="FT11" s="7"/>
      <c r="FU11" s="7"/>
      <c r="FV11" s="7"/>
      <c r="FX11" s="7"/>
      <c r="FZ11" s="7"/>
      <c r="GB11" s="7"/>
      <c r="GD11" s="7"/>
      <c r="GF11" s="7"/>
      <c r="GG11" s="7"/>
      <c r="GH11" s="7"/>
      <c r="GI11" s="7"/>
      <c r="GK11" s="7"/>
      <c r="GM11" s="7"/>
      <c r="GO11" s="7"/>
      <c r="GQ11" s="7"/>
      <c r="GR11" s="2"/>
      <c r="GS11" s="2"/>
      <c r="GT11" s="2"/>
    </row>
    <row r="12" spans="1:205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>(L7+L8+L11)/3</f>
        <v>39.233333333333334</v>
      </c>
      <c r="M12" s="55">
        <f>(M7+M8+M11)/3</f>
        <v>39.229999999999997</v>
      </c>
      <c r="N12" s="275">
        <f>(N7+N8+N11)/3</f>
        <v>39.516666666666673</v>
      </c>
      <c r="O12" s="275">
        <f t="shared" ref="O12:T12" si="1">(O7+O8+O11)/3</f>
        <v>39.073333333333331</v>
      </c>
      <c r="P12" s="55">
        <f>(P7+P8+P11)/3</f>
        <v>40.949999999999996</v>
      </c>
      <c r="Q12" s="55">
        <f t="shared" si="1"/>
        <v>39.9</v>
      </c>
      <c r="R12" s="275">
        <f>(R7+R8+R11)/3</f>
        <v>39.263333333333335</v>
      </c>
      <c r="S12" s="275">
        <f t="shared" si="1"/>
        <v>39.626666666666665</v>
      </c>
      <c r="T12" s="275">
        <f t="shared" si="1"/>
        <v>39.599166666666669</v>
      </c>
      <c r="U12" s="55"/>
      <c r="V12" s="37"/>
      <c r="W12" s="37"/>
      <c r="X12" s="19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21"/>
      <c r="AJ12" s="21"/>
      <c r="AK12" s="20"/>
      <c r="AL12" s="137"/>
      <c r="AM12" s="69">
        <f>AM11/AL13</f>
        <v>0.6452</v>
      </c>
      <c r="AN12" s="31"/>
      <c r="AO12" s="69">
        <f>AO11/AN13</f>
        <v>0.40039999999999998</v>
      </c>
      <c r="AP12" s="31"/>
      <c r="AQ12" s="69">
        <f>AQ11/AP13</f>
        <v>0.48920000000000002</v>
      </c>
      <c r="AR12" s="31"/>
      <c r="AS12" s="69">
        <f>AS11/AR13</f>
        <v>0.60086666666666666</v>
      </c>
      <c r="AT12" s="31"/>
      <c r="AU12" s="69">
        <f>AU11/AT13</f>
        <v>0.71099999999999997</v>
      </c>
      <c r="AV12" s="2">
        <f>AVERAGE(AM12,AO12,AQ12,AS12,AU12)</f>
        <v>0.56933333333333325</v>
      </c>
      <c r="AW12" s="31"/>
      <c r="AX12" s="31"/>
      <c r="AY12" s="31"/>
      <c r="AZ12" s="31"/>
      <c r="BA12" s="21"/>
      <c r="BB12" s="21"/>
      <c r="BE12" s="20"/>
      <c r="BF12" s="66"/>
      <c r="BG12" s="66"/>
      <c r="BH12" s="66"/>
      <c r="BI12" s="66"/>
      <c r="BJ12" s="66"/>
      <c r="BK12" s="66"/>
      <c r="BL12" s="21"/>
      <c r="BM12" s="66"/>
      <c r="BN12" s="66"/>
      <c r="BO12" s="21"/>
      <c r="BP12" s="66"/>
      <c r="BQ12" s="66"/>
      <c r="BR12" s="66"/>
      <c r="BS12" s="66"/>
      <c r="BT12" s="66"/>
      <c r="BU12" s="66"/>
      <c r="BV12" s="21"/>
      <c r="BW12" s="66"/>
      <c r="BX12" s="66"/>
      <c r="BY12" s="16"/>
      <c r="BZ12" s="66"/>
      <c r="CA12" s="66"/>
      <c r="CB12" s="66"/>
      <c r="CC12" s="66"/>
      <c r="CD12" s="66"/>
      <c r="CE12" s="66"/>
      <c r="CF12" s="21"/>
      <c r="CG12" s="66"/>
      <c r="CH12" s="66"/>
      <c r="CI12" s="16"/>
      <c r="CN12" s="20"/>
      <c r="CO12" s="19"/>
      <c r="CP12" s="20"/>
      <c r="CQ12" s="16"/>
      <c r="CR12" s="20"/>
      <c r="CS12" s="16"/>
      <c r="CT12" s="20"/>
      <c r="CU12" s="16"/>
      <c r="CV12" s="20"/>
      <c r="CW12" s="19"/>
      <c r="CX12" s="20"/>
      <c r="CY12" s="16"/>
      <c r="CZ12" s="20"/>
      <c r="DA12" s="16"/>
      <c r="DB12" s="16"/>
      <c r="DC12" s="16"/>
      <c r="DD12" s="16"/>
      <c r="DJ12" s="6"/>
      <c r="DK12" s="2"/>
      <c r="DM12" s="8"/>
      <c r="DO12" s="8"/>
      <c r="DP12" s="8"/>
      <c r="DQ12" s="8"/>
      <c r="DR12" s="8"/>
      <c r="DS12" s="8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Q12" s="5"/>
      <c r="FA12" s="2"/>
    </row>
    <row r="13" spans="1:205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>
        <v>40</v>
      </c>
      <c r="T13" s="55">
        <v>40</v>
      </c>
      <c r="U13" s="55"/>
      <c r="V13" s="37"/>
      <c r="W13" s="37"/>
      <c r="X13" s="19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22"/>
      <c r="AJ13" s="22"/>
      <c r="AK13" s="44"/>
      <c r="AL13" s="32">
        <v>500</v>
      </c>
      <c r="AM13" s="59"/>
      <c r="AN13" s="59">
        <v>1000</v>
      </c>
      <c r="AO13" s="59"/>
      <c r="AP13" s="59">
        <v>2000</v>
      </c>
      <c r="AQ13" s="59"/>
      <c r="AR13" s="59">
        <v>3000</v>
      </c>
      <c r="AS13" s="59"/>
      <c r="AT13" s="59">
        <v>4000</v>
      </c>
      <c r="AU13" s="32"/>
      <c r="AV13" s="22"/>
      <c r="AW13" s="32"/>
      <c r="AX13" s="32"/>
      <c r="AY13" s="32"/>
      <c r="AZ13" s="32"/>
      <c r="BA13" s="22"/>
      <c r="BB13" s="22"/>
      <c r="BE13" s="44"/>
      <c r="BF13" s="67"/>
      <c r="BG13" s="67"/>
      <c r="BH13" s="67"/>
      <c r="BI13" s="67"/>
      <c r="BJ13" s="67"/>
      <c r="BK13" s="67"/>
      <c r="BL13" s="22"/>
      <c r="BM13" s="67"/>
      <c r="BN13" s="67"/>
      <c r="BO13" s="22"/>
      <c r="BP13" s="67"/>
      <c r="BQ13" s="67"/>
      <c r="BR13" s="67"/>
      <c r="BS13" s="67"/>
      <c r="BT13" s="67"/>
      <c r="BU13" s="67"/>
      <c r="BV13" s="22"/>
      <c r="BW13" s="67"/>
      <c r="BX13" s="67"/>
      <c r="BY13" s="19"/>
      <c r="BZ13" s="67"/>
      <c r="CA13" s="67"/>
      <c r="CB13" s="67"/>
      <c r="CC13" s="67"/>
      <c r="CD13" s="67"/>
      <c r="CE13" s="67"/>
      <c r="CF13" s="22"/>
      <c r="CG13" s="67"/>
      <c r="CH13" s="67"/>
      <c r="CI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6"/>
      <c r="CZ13" s="44"/>
      <c r="DA13" s="19"/>
      <c r="DB13" s="19"/>
      <c r="DC13" s="19"/>
      <c r="DD13" s="19"/>
      <c r="DE13" s="1"/>
      <c r="DF13" s="1"/>
      <c r="DJ13" s="6"/>
      <c r="DK13" s="2"/>
      <c r="DM13" s="8"/>
      <c r="DO13" s="8"/>
      <c r="DP13" s="8"/>
      <c r="DQ13" s="8"/>
      <c r="DR13" s="8"/>
      <c r="DS13" s="8"/>
      <c r="DT13" s="14"/>
      <c r="DU13" s="15"/>
      <c r="DV13" s="15"/>
      <c r="DW13" s="15"/>
      <c r="DX13" s="15"/>
      <c r="DY13" s="15"/>
      <c r="DZ13" s="15"/>
      <c r="EA13" s="15"/>
      <c r="EB13" s="14"/>
      <c r="EC13" s="14"/>
      <c r="ED13" s="14"/>
      <c r="EG13" s="2"/>
      <c r="EY13" s="2"/>
    </row>
    <row r="14" spans="1:205" ht="15.75" x14ac:dyDescent="0.25">
      <c r="A14" t="s">
        <v>11</v>
      </c>
      <c r="B14" s="98">
        <f>ABS(B11-B13)/B13</f>
        <v>0.28650000000000003</v>
      </c>
      <c r="C14" s="33"/>
      <c r="D14" s="98">
        <f>ABS(D11-D13)/D13</f>
        <v>0.58174999999999999</v>
      </c>
      <c r="E14" s="34"/>
      <c r="F14" s="98">
        <f>ABS(F11-F13)/F13</f>
        <v>0.30250000000000005</v>
      </c>
      <c r="G14" s="34"/>
      <c r="H14" s="34"/>
      <c r="I14" s="34"/>
      <c r="J14" s="34"/>
      <c r="K14" s="38"/>
      <c r="L14" s="30">
        <f t="shared" ref="L14:T14" si="2">(L12-L13)/L13</f>
        <v>-1.9166666666666644E-2</v>
      </c>
      <c r="M14" s="30">
        <f t="shared" si="2"/>
        <v>-1.925000000000008E-2</v>
      </c>
      <c r="N14" s="30">
        <f>(N12-N13)/N13</f>
        <v>-1.2083333333333179E-2</v>
      </c>
      <c r="O14" s="30">
        <f t="shared" si="2"/>
        <v>-2.3166666666666735E-2</v>
      </c>
      <c r="P14" s="30">
        <f t="shared" si="2"/>
        <v>2.3749999999999893E-2</v>
      </c>
      <c r="Q14" s="30">
        <f t="shared" si="2"/>
        <v>-2.5000000000000356E-3</v>
      </c>
      <c r="R14" s="30">
        <f>(R12-R13)/R13</f>
        <v>-1.8416666666666616E-2</v>
      </c>
      <c r="S14" s="30">
        <f t="shared" si="2"/>
        <v>-9.3333333333333705E-3</v>
      </c>
      <c r="T14" s="30">
        <f t="shared" si="2"/>
        <v>-1.0020833333333279E-2</v>
      </c>
      <c r="U14" s="56"/>
      <c r="V14" s="19"/>
      <c r="W14" s="19"/>
      <c r="X14" s="19"/>
      <c r="Y14" s="49"/>
      <c r="Z14" s="23"/>
      <c r="AA14" s="49"/>
      <c r="AB14" s="38"/>
      <c r="AC14" s="49"/>
      <c r="AD14" s="38"/>
      <c r="AE14" s="38"/>
      <c r="AF14" s="38"/>
      <c r="AG14" s="38"/>
      <c r="AH14" s="38"/>
      <c r="AI14" s="38"/>
      <c r="AJ14" s="38"/>
      <c r="AK14" s="16"/>
      <c r="AL14" s="72">
        <f>ABS(AM11-AL13)/AL13</f>
        <v>0.35479999999999995</v>
      </c>
      <c r="AM14" s="61"/>
      <c r="AN14" s="72">
        <f>ABS(AO11-AN13)/AN13</f>
        <v>0.59960000000000002</v>
      </c>
      <c r="AO14" s="62"/>
      <c r="AP14" s="72">
        <f>ABS(AQ11-AP13)/AP13</f>
        <v>0.51079999999999992</v>
      </c>
      <c r="AQ14" s="62"/>
      <c r="AR14" s="72">
        <f>ABS(AS11-AR13)/AR13</f>
        <v>0.39913333333333334</v>
      </c>
      <c r="AS14" s="62"/>
      <c r="AT14" s="72">
        <f>ABS(AU11-AT13)/AT13</f>
        <v>0.28899999999999998</v>
      </c>
      <c r="AU14" s="16"/>
      <c r="AV14" s="45"/>
      <c r="AW14" s="38"/>
      <c r="AX14" s="36"/>
      <c r="AY14" s="38"/>
      <c r="AZ14" s="36"/>
      <c r="BA14" s="38"/>
      <c r="BB14" s="38"/>
      <c r="BC14" s="38"/>
      <c r="BD14" s="38"/>
      <c r="BE14" s="16"/>
      <c r="BF14" s="23"/>
      <c r="BG14" s="23"/>
      <c r="BH14" s="38"/>
      <c r="BI14" s="38"/>
      <c r="BJ14" s="38"/>
      <c r="BK14" s="38"/>
      <c r="BL14" s="38"/>
      <c r="BM14" s="38"/>
      <c r="BN14" s="38"/>
      <c r="BO14" s="20"/>
      <c r="BP14" s="23"/>
      <c r="BQ14" s="23"/>
      <c r="BR14" s="23"/>
      <c r="BS14" s="38"/>
      <c r="BT14" s="23"/>
      <c r="BU14" s="38"/>
      <c r="BV14" s="38"/>
      <c r="BW14" s="38"/>
      <c r="BX14" s="38"/>
      <c r="BY14" s="16"/>
      <c r="BZ14" s="38"/>
      <c r="CA14" s="23"/>
      <c r="CB14" s="38"/>
      <c r="CC14" s="38"/>
      <c r="CD14" s="38"/>
      <c r="CE14" s="38"/>
      <c r="CF14" s="38"/>
      <c r="CG14" s="38"/>
      <c r="CH14" s="38"/>
      <c r="CI14" s="16"/>
      <c r="CN14" s="19"/>
      <c r="CO14" s="19"/>
      <c r="CP14" s="19"/>
      <c r="CQ14" s="19"/>
      <c r="CR14" s="19"/>
      <c r="CS14" s="19"/>
      <c r="CT14" s="19"/>
      <c r="CU14" s="16"/>
      <c r="CV14" s="16"/>
      <c r="CW14" s="16"/>
      <c r="CX14" s="47"/>
      <c r="CY14" s="16"/>
      <c r="CZ14" s="16"/>
      <c r="DA14" s="16"/>
      <c r="DB14" s="16"/>
      <c r="DC14" s="16"/>
      <c r="DD14" s="16"/>
      <c r="DJ14" s="6"/>
      <c r="DK14" s="2"/>
      <c r="DM14" s="8"/>
      <c r="DO14" s="8"/>
      <c r="DP14" s="8"/>
      <c r="DQ14" s="8"/>
      <c r="DR14" s="8"/>
      <c r="DS14" s="8"/>
      <c r="DT14" s="14"/>
      <c r="DU14" s="42"/>
      <c r="DV14" s="42"/>
      <c r="DW14" s="42"/>
      <c r="DX14" s="42"/>
      <c r="DY14" s="42"/>
      <c r="DZ14" s="42"/>
      <c r="EA14" s="42"/>
      <c r="EB14" s="15"/>
      <c r="EC14" s="14"/>
      <c r="ED14" s="14"/>
    </row>
    <row r="15" spans="1:205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W15" s="35"/>
      <c r="X15" s="68" t="s">
        <v>79</v>
      </c>
      <c r="Y15" s="30">
        <f>AVERAGE(Z8,Z19)</f>
        <v>0.69022452773399501</v>
      </c>
      <c r="Z15" s="71"/>
      <c r="AA15" s="30">
        <f>AVERAGE(AB8,AB19)</f>
        <v>0.7741659546443691</v>
      </c>
      <c r="AB15" s="71"/>
      <c r="AC15" s="30">
        <f>AVERAGE(AD8,AD19)</f>
        <v>0.76701392126789747</v>
      </c>
      <c r="AD15" s="71"/>
      <c r="AE15" s="30">
        <f>AVERAGE(AF8,AF19)</f>
        <v>0.81142095769083911</v>
      </c>
      <c r="AF15" s="71"/>
      <c r="AG15" s="30">
        <f>AVERAGE(AH8,AH19)</f>
        <v>0.82791703594531163</v>
      </c>
      <c r="AH15" s="16"/>
      <c r="AI15" s="16"/>
      <c r="AJ15" s="16"/>
      <c r="AK15" s="142" t="s">
        <v>129</v>
      </c>
      <c r="AL15" s="103">
        <f>AVERAGE(AM11,AM22)</f>
        <v>251</v>
      </c>
      <c r="AM15" s="71"/>
      <c r="AN15" s="103">
        <f>AVERAGE(AO11,AO22)</f>
        <v>366.5</v>
      </c>
      <c r="AO15" s="71"/>
      <c r="AP15" s="103">
        <f>AVERAGE(AQ22,AQ11)</f>
        <v>1057.5</v>
      </c>
      <c r="AQ15" s="71"/>
      <c r="AR15" s="103">
        <f>AVERAGE(AS11,AS22)</f>
        <v>1276.4000000000001</v>
      </c>
      <c r="AS15" s="71"/>
      <c r="AT15" s="103">
        <f>AVERAGE(AU11,AU22)</f>
        <v>1422</v>
      </c>
      <c r="AU15" s="16">
        <f>2844*0.46</f>
        <v>1308.24</v>
      </c>
      <c r="AV15" s="148">
        <v>1536</v>
      </c>
      <c r="AW15" s="16"/>
      <c r="AX15" s="16"/>
      <c r="AY15" s="16"/>
      <c r="AZ15" s="20"/>
      <c r="BA15" s="16"/>
      <c r="BB15" s="16"/>
      <c r="BC15" s="16"/>
      <c r="BD15" s="16"/>
      <c r="BE15" s="16"/>
      <c r="BF15" s="16"/>
      <c r="BG15" s="16"/>
      <c r="BH15" s="19"/>
      <c r="BI15" s="19"/>
      <c r="BJ15" s="19"/>
      <c r="BK15" s="19"/>
      <c r="BL15" s="19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20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J15" s="6"/>
      <c r="DK15" s="2"/>
      <c r="DM15" s="8"/>
      <c r="DO15" s="8"/>
      <c r="DP15" s="8"/>
      <c r="DQ15" s="8"/>
      <c r="DR15" s="8"/>
      <c r="DS15" s="8"/>
      <c r="DT15" s="14"/>
      <c r="DU15" s="42"/>
      <c r="DV15" s="42"/>
      <c r="DW15" s="42"/>
      <c r="DX15" s="42"/>
      <c r="DY15" s="42"/>
      <c r="DZ15" s="42"/>
      <c r="EA15" s="42"/>
      <c r="EB15" s="14"/>
      <c r="EC15" s="14"/>
      <c r="ED15" s="14"/>
    </row>
    <row r="16" spans="1:205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6"/>
      <c r="M16" s="36"/>
      <c r="N16" s="36"/>
      <c r="O16" s="36"/>
      <c r="P16" s="36"/>
      <c r="Q16" s="36"/>
      <c r="R16" s="36"/>
      <c r="S16" s="1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9"/>
      <c r="BI16" s="19"/>
      <c r="BJ16" s="19"/>
      <c r="BK16" s="19"/>
      <c r="BL16" s="19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J16" s="6"/>
      <c r="DK16" s="2"/>
      <c r="DM16" s="8"/>
      <c r="DO16" s="8"/>
      <c r="DP16" s="8"/>
      <c r="DQ16" s="8"/>
      <c r="DR16" s="8"/>
      <c r="DS16" s="8"/>
      <c r="DT16" s="14"/>
      <c r="DU16" s="42"/>
      <c r="DV16" s="42"/>
      <c r="DW16" s="42"/>
      <c r="DX16" s="42"/>
      <c r="DY16" s="42"/>
      <c r="DZ16" s="42"/>
      <c r="EA16" s="42"/>
      <c r="EB16" s="14"/>
      <c r="EC16" s="14"/>
      <c r="ED16" s="14"/>
    </row>
    <row r="17" spans="1:134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35"/>
      <c r="M17" s="57"/>
      <c r="N17" s="57"/>
      <c r="O17" s="57"/>
      <c r="P17" s="57"/>
      <c r="Q17" s="57"/>
      <c r="R17" s="57"/>
      <c r="S17" s="17"/>
      <c r="T17" s="18"/>
      <c r="U17" s="17"/>
      <c r="V17" s="17"/>
      <c r="W17" s="17"/>
      <c r="X17" s="18"/>
      <c r="Y17" s="24" t="s">
        <v>143</v>
      </c>
      <c r="Z17" s="25" t="s">
        <v>16</v>
      </c>
      <c r="AA17" s="26" t="s">
        <v>61</v>
      </c>
      <c r="AB17" s="25" t="s">
        <v>16</v>
      </c>
      <c r="AC17" s="26" t="s">
        <v>145</v>
      </c>
      <c r="AD17" s="25" t="s">
        <v>16</v>
      </c>
      <c r="AE17" s="26" t="s">
        <v>62</v>
      </c>
      <c r="AF17" s="25" t="s">
        <v>16</v>
      </c>
      <c r="AG17" s="26" t="s">
        <v>63</v>
      </c>
      <c r="AH17" s="25" t="s">
        <v>16</v>
      </c>
      <c r="AI17" s="17"/>
      <c r="AJ17" s="17"/>
      <c r="AK17" s="18"/>
      <c r="AL17" s="24" t="s">
        <v>140</v>
      </c>
      <c r="AM17" s="25" t="s">
        <v>16</v>
      </c>
      <c r="AN17" s="26" t="s">
        <v>66</v>
      </c>
      <c r="AO17" s="25" t="s">
        <v>16</v>
      </c>
      <c r="AP17" s="26" t="s">
        <v>141</v>
      </c>
      <c r="AQ17" s="25" t="s">
        <v>16</v>
      </c>
      <c r="AR17" s="26" t="s">
        <v>67</v>
      </c>
      <c r="AS17" s="25" t="s">
        <v>16</v>
      </c>
      <c r="AT17" s="26" t="s">
        <v>68</v>
      </c>
      <c r="AU17" s="25" t="s">
        <v>16</v>
      </c>
      <c r="AV17" s="17"/>
      <c r="AW17" s="18"/>
      <c r="AX17" s="60"/>
      <c r="AY17" s="18"/>
      <c r="AZ17" s="60"/>
      <c r="BA17" s="18"/>
      <c r="BB17" s="17"/>
      <c r="BC17" s="17"/>
      <c r="BD17" s="17"/>
      <c r="BE17" s="18"/>
      <c r="BF17" s="63"/>
      <c r="BG17" s="18"/>
      <c r="BH17" s="64"/>
      <c r="BI17" s="18"/>
      <c r="BJ17" s="64"/>
      <c r="BK17" s="18"/>
      <c r="BL17" s="17"/>
      <c r="BM17" s="63"/>
      <c r="BN17" s="63"/>
      <c r="BO17" s="17"/>
      <c r="BP17" s="65"/>
      <c r="BQ17" s="18"/>
      <c r="BR17" s="64"/>
      <c r="BS17" s="18"/>
      <c r="BT17" s="64"/>
      <c r="BU17" s="18"/>
      <c r="BV17" s="17"/>
      <c r="BW17" s="63"/>
      <c r="BX17" s="63"/>
      <c r="BY17" s="16"/>
      <c r="BZ17" s="65"/>
      <c r="CA17" s="18"/>
      <c r="CB17" s="64"/>
      <c r="CC17" s="18"/>
      <c r="CD17" s="64"/>
      <c r="CE17" s="18"/>
      <c r="CF17" s="17"/>
      <c r="CG17" s="63"/>
      <c r="CH17" s="63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J17" s="6"/>
      <c r="DK17" s="2"/>
      <c r="DM17" s="8"/>
      <c r="DO17" s="8"/>
      <c r="DP17" s="8"/>
      <c r="DQ17" s="8"/>
      <c r="DR17" s="8"/>
      <c r="DS17" s="8"/>
      <c r="DT17" s="14"/>
      <c r="DU17" s="42"/>
      <c r="DV17" s="42"/>
      <c r="DW17" s="42"/>
      <c r="DX17" s="42"/>
      <c r="DY17" s="42"/>
      <c r="DZ17" s="42"/>
      <c r="EA17" s="42"/>
      <c r="EB17" s="14"/>
      <c r="EC17" s="14"/>
      <c r="ED17" s="14"/>
    </row>
    <row r="18" spans="1:134" x14ac:dyDescent="0.25">
      <c r="B18" s="12">
        <v>1.78</v>
      </c>
      <c r="C18" s="29">
        <f>B18/AVERAGE($S7,$Q7)</f>
        <v>4.3638146604559939E-2</v>
      </c>
      <c r="D18" s="12">
        <v>1.81</v>
      </c>
      <c r="E18" s="29">
        <f>D18/AVERAGE($S7,$Q7)</f>
        <v>4.4373620985535669E-2</v>
      </c>
      <c r="F18" s="12">
        <v>1.8</v>
      </c>
      <c r="G18" s="29">
        <f>F18/AVERAGE($S7,$Q7)</f>
        <v>4.4128462858543764E-2</v>
      </c>
      <c r="H18" s="33"/>
      <c r="I18" s="274">
        <f>AVERAGE(F18,D18,B18)</f>
        <v>1.7966666666666669</v>
      </c>
      <c r="J18" s="30">
        <f>STDEV(D18,F18)/I18</f>
        <v>3.9356592644891357E-3</v>
      </c>
      <c r="K18" s="1"/>
      <c r="L18" s="35"/>
      <c r="M18" s="35"/>
      <c r="N18" s="35"/>
      <c r="O18" s="35"/>
      <c r="P18" s="58"/>
      <c r="Q18" s="58"/>
      <c r="R18" s="58"/>
      <c r="S18" s="1"/>
      <c r="U18" s="38"/>
      <c r="V18" s="38"/>
      <c r="W18" s="38"/>
      <c r="X18" s="16"/>
      <c r="Y18" s="12">
        <v>1.74</v>
      </c>
      <c r="Z18" s="29">
        <f>Y18/AVERAGE($S7,$Q7)</f>
        <v>4.2657514096592304E-2</v>
      </c>
      <c r="AA18" s="12">
        <v>1.78</v>
      </c>
      <c r="AB18" s="29">
        <f>AA18/AVERAGE($S7,$Q7)</f>
        <v>4.3638146604559939E-2</v>
      </c>
      <c r="AC18" s="12">
        <v>1.84</v>
      </c>
      <c r="AD18" s="29">
        <f>AC18/AVERAGE($S7,$Q7)</f>
        <v>4.5109095366511399E-2</v>
      </c>
      <c r="AE18" s="12">
        <v>1.79</v>
      </c>
      <c r="AF18" s="29">
        <f>AE18/AVERAGE($S7,$Q7)</f>
        <v>4.3883304731551852E-2</v>
      </c>
      <c r="AG18" s="12">
        <v>1.88</v>
      </c>
      <c r="AH18" s="29">
        <f>AG18/AVERAGE($S7,$Q7)</f>
        <v>4.6089727874479035E-2</v>
      </c>
      <c r="AI18" s="16"/>
      <c r="AJ18" s="38"/>
      <c r="AK18" s="20"/>
      <c r="AL18" s="12" t="s">
        <v>159</v>
      </c>
      <c r="AM18" s="29" t="e">
        <f>AL18*10/AVERAGE($L$7,$M$7)</f>
        <v>#VALUE!</v>
      </c>
      <c r="AN18" s="12" t="s">
        <v>159</v>
      </c>
      <c r="AO18" s="29" t="e">
        <f>AN18*10/AVERAGE($L$7,$M$7)</f>
        <v>#VALUE!</v>
      </c>
      <c r="AP18" s="12" t="s">
        <v>158</v>
      </c>
      <c r="AQ18" s="29" t="e">
        <f>AP18*10/AVERAGE($L$7,$M$7)</f>
        <v>#VALUE!</v>
      </c>
      <c r="AR18" s="12" t="s">
        <v>159</v>
      </c>
      <c r="AS18" s="29" t="e">
        <f>AR18*10/AVERAGE($L$7,$M$7)</f>
        <v>#VALUE!</v>
      </c>
      <c r="AT18" s="12" t="s">
        <v>159</v>
      </c>
      <c r="AU18" s="29" t="e">
        <f>AT18*10/AVERAGE($L$7,$M$7)</f>
        <v>#VALUE!</v>
      </c>
      <c r="AV18" s="43"/>
      <c r="AW18" s="23"/>
      <c r="AX18" s="16"/>
      <c r="AY18" s="23"/>
      <c r="AZ18" s="16"/>
      <c r="BA18" s="23"/>
      <c r="BB18" s="23"/>
      <c r="BC18" s="16"/>
      <c r="BD18" s="38"/>
      <c r="BE18" s="20"/>
      <c r="BF18" s="43"/>
      <c r="BG18" s="23"/>
      <c r="BH18" s="16"/>
      <c r="BI18" s="23"/>
      <c r="BJ18" s="16"/>
      <c r="BK18" s="23"/>
      <c r="BL18" s="23"/>
      <c r="BM18" s="16"/>
      <c r="BN18" s="38"/>
      <c r="BO18" s="16"/>
      <c r="BP18" s="43"/>
      <c r="BQ18" s="23"/>
      <c r="BR18" s="16"/>
      <c r="BS18" s="23"/>
      <c r="BT18" s="16"/>
      <c r="BU18" s="23"/>
      <c r="BV18" s="23"/>
      <c r="BW18" s="16"/>
      <c r="BX18" s="38"/>
      <c r="BY18" s="20"/>
      <c r="BZ18" s="43"/>
      <c r="CA18" s="23"/>
      <c r="CB18" s="16"/>
      <c r="CC18" s="23"/>
      <c r="CD18" s="16"/>
      <c r="CE18" s="23"/>
      <c r="CF18" s="23"/>
      <c r="CG18" s="16"/>
      <c r="CH18" s="38"/>
      <c r="CS18" s="2"/>
      <c r="DJ18" s="6"/>
      <c r="DK18" s="2"/>
      <c r="DM18" s="8"/>
      <c r="DO18" s="8"/>
      <c r="DP18" s="8"/>
      <c r="DQ18" s="8"/>
      <c r="DR18" s="8"/>
      <c r="DS18" s="8"/>
      <c r="DT18" s="14"/>
      <c r="DU18" s="42"/>
      <c r="DV18" s="42"/>
      <c r="DW18" s="42"/>
      <c r="DX18" s="42"/>
      <c r="DY18" s="42"/>
      <c r="DZ18" s="42"/>
      <c r="EA18" s="42"/>
      <c r="EB18" s="14"/>
      <c r="EC18" s="14"/>
      <c r="ED18" s="14"/>
    </row>
    <row r="19" spans="1:134" x14ac:dyDescent="0.25">
      <c r="B19" s="12">
        <v>33.840000000000003</v>
      </c>
      <c r="C19" s="30">
        <f>B19/AVERAGE($S8,$Q8)</f>
        <v>0.84684684684684697</v>
      </c>
      <c r="D19" s="12">
        <v>28.63</v>
      </c>
      <c r="E19" s="30">
        <f>D19/AVERAGE($S8,$Q8)</f>
        <v>0.71646646646646639</v>
      </c>
      <c r="F19" s="12">
        <v>32.85</v>
      </c>
      <c r="G19" s="30">
        <f>F19/AVERAGE($S8,$Q8)</f>
        <v>0.82207207207207211</v>
      </c>
      <c r="H19" s="34"/>
      <c r="I19" s="274">
        <f>AVERAGE(F19,D19,B19)</f>
        <v>31.773333333333337</v>
      </c>
      <c r="J19" s="30">
        <f>STDEV(D19,F19)/I19</f>
        <v>9.3914937576811755E-2</v>
      </c>
      <c r="K19" s="11"/>
      <c r="L19" s="35"/>
      <c r="M19" s="35"/>
      <c r="N19" s="35"/>
      <c r="O19" s="35"/>
      <c r="P19" s="58"/>
      <c r="Q19" s="58"/>
      <c r="R19" s="58"/>
      <c r="U19" s="38"/>
      <c r="V19" s="38"/>
      <c r="W19" s="38"/>
      <c r="X19" s="16"/>
      <c r="Y19" s="12">
        <v>28.59</v>
      </c>
      <c r="Z19" s="30">
        <f>Y19/AVERAGE($S8,$Q8)</f>
        <v>0.71546546546546541</v>
      </c>
      <c r="AA19" s="12">
        <v>29.75</v>
      </c>
      <c r="AB19" s="30">
        <f>AA19/AVERAGE($S8,$Q8)</f>
        <v>0.74449449449449445</v>
      </c>
      <c r="AC19" s="12">
        <v>29.36</v>
      </c>
      <c r="AD19" s="30">
        <f>AC19/AVERAGE($S8,$Q8)</f>
        <v>0.73473473473473472</v>
      </c>
      <c r="AE19" s="12">
        <v>25.03</v>
      </c>
      <c r="AF19" s="29">
        <f>AE19/AVERAGE($S8,$Q8)</f>
        <v>0.62637637637637644</v>
      </c>
      <c r="AG19" s="12">
        <v>29.96</v>
      </c>
      <c r="AH19" s="30">
        <f>AG19/AVERAGE($S8,$Q8)</f>
        <v>0.74974974974974973</v>
      </c>
      <c r="AI19" s="16"/>
      <c r="AJ19" s="23"/>
      <c r="AK19" s="20"/>
      <c r="AL19" s="12" t="s">
        <v>159</v>
      </c>
      <c r="AM19" s="30" t="e">
        <f>AL19*10/AVERAGE($L$8,$M$8)</f>
        <v>#VALUE!</v>
      </c>
      <c r="AN19" s="12" t="s">
        <v>159</v>
      </c>
      <c r="AO19" s="30" t="e">
        <f>AN19*10/AVERAGE($L$8,$M$8)</f>
        <v>#VALUE!</v>
      </c>
      <c r="AP19" s="12" t="s">
        <v>158</v>
      </c>
      <c r="AQ19" s="30" t="e">
        <f>AP19*10/AVERAGE($L$8,$M$8)</f>
        <v>#VALUE!</v>
      </c>
      <c r="AR19" s="12" t="s">
        <v>159</v>
      </c>
      <c r="AS19" s="30" t="e">
        <f>AR19*10/AVERAGE($L$8,$M$8)</f>
        <v>#VALUE!</v>
      </c>
      <c r="AT19" s="12" t="s">
        <v>159</v>
      </c>
      <c r="AU19" s="30" t="e">
        <f>AT19*20/AVERAGE($L$8,$M$8)</f>
        <v>#VALUE!</v>
      </c>
      <c r="AV19" s="43"/>
      <c r="AW19" s="38"/>
      <c r="AX19" s="16"/>
      <c r="AY19" s="38"/>
      <c r="AZ19" s="16"/>
      <c r="BA19" s="38"/>
      <c r="BB19" s="38"/>
      <c r="BC19" s="16"/>
      <c r="BD19" s="38"/>
      <c r="BE19" s="20"/>
      <c r="BF19" s="43"/>
      <c r="BG19" s="38"/>
      <c r="BH19" s="16"/>
      <c r="BI19" s="38"/>
      <c r="BJ19" s="16"/>
      <c r="BK19" s="38"/>
      <c r="BL19" s="38"/>
      <c r="BM19" s="16"/>
      <c r="BN19" s="38"/>
      <c r="BO19" s="16"/>
      <c r="BP19" s="43"/>
      <c r="BQ19" s="23"/>
      <c r="BR19" s="16"/>
      <c r="BS19" s="23"/>
      <c r="BT19" s="16"/>
      <c r="BU19" s="23"/>
      <c r="BV19" s="38"/>
      <c r="BW19" s="16"/>
      <c r="BX19" s="38"/>
      <c r="BY19" s="20"/>
      <c r="BZ19" s="43"/>
      <c r="CA19" s="23"/>
      <c r="CB19" s="16"/>
      <c r="CC19" s="23"/>
      <c r="CD19" s="16"/>
      <c r="CE19" s="23"/>
      <c r="CF19" s="38"/>
      <c r="CG19" s="16"/>
      <c r="CH19" s="38"/>
      <c r="DH19" s="10"/>
      <c r="DI19" s="10"/>
      <c r="DJ19" s="10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</row>
    <row r="20" spans="1:134" x14ac:dyDescent="0.25">
      <c r="A20" t="s">
        <v>0</v>
      </c>
      <c r="B20" s="12">
        <v>12.31</v>
      </c>
      <c r="C20" s="30">
        <f>B20/AVERAGE($S9,$Q9)</f>
        <v>0.96247068021892113</v>
      </c>
      <c r="D20" s="12">
        <v>9.7200000000000006</v>
      </c>
      <c r="E20" s="30">
        <f>D20/AVERAGE($S9,$Q9)</f>
        <v>0.75996872556684925</v>
      </c>
      <c r="F20" s="12">
        <v>10</v>
      </c>
      <c r="G20" s="30">
        <f>F20/AVERAGE($S9,$Q9)</f>
        <v>0.78186082877247853</v>
      </c>
      <c r="H20" s="34"/>
      <c r="I20" s="274">
        <f>AVERAGE(F20,D20,B20)</f>
        <v>10.676666666666668</v>
      </c>
      <c r="J20" s="30">
        <f>STDEV(D20,F20)/I20</f>
        <v>1.8544167848788588E-2</v>
      </c>
      <c r="L20" s="35"/>
      <c r="M20" s="35"/>
      <c r="N20" s="35"/>
      <c r="O20" s="35"/>
      <c r="P20" s="58"/>
      <c r="Q20" s="58"/>
      <c r="R20" s="58"/>
      <c r="U20" s="38"/>
      <c r="V20" s="38"/>
      <c r="W20" s="38"/>
      <c r="X20" s="16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45"/>
      <c r="AK20" s="43"/>
      <c r="AL20" s="12">
        <v>3.8</v>
      </c>
      <c r="AM20" s="12">
        <f>AL20/0.5*10</f>
        <v>76</v>
      </c>
      <c r="AN20" s="12">
        <v>7.56</v>
      </c>
      <c r="AO20" s="12">
        <f>AN20/0.5*10</f>
        <v>151.19999999999999</v>
      </c>
      <c r="AP20" s="12">
        <v>23.97</v>
      </c>
      <c r="AQ20" s="12">
        <f>AP20/0.5*10</f>
        <v>479.4</v>
      </c>
      <c r="AR20" s="12">
        <v>17.41</v>
      </c>
      <c r="AS20" s="12">
        <f>AR20/0.5*10</f>
        <v>348.2</v>
      </c>
      <c r="AT20" s="12"/>
      <c r="AU20" s="12">
        <f>AT20/0.5*20</f>
        <v>0</v>
      </c>
      <c r="AV20" s="45"/>
      <c r="AW20" s="45"/>
      <c r="AX20" s="45"/>
      <c r="AY20" s="45"/>
      <c r="AZ20" s="45"/>
      <c r="BA20" s="45"/>
      <c r="BB20" s="45"/>
      <c r="BC20" s="16"/>
      <c r="BD20" s="45"/>
      <c r="BE20" s="19"/>
      <c r="BF20" s="43"/>
      <c r="BG20" s="16"/>
      <c r="BH20" s="16"/>
      <c r="BI20" s="16"/>
      <c r="BJ20" s="16"/>
      <c r="BK20" s="16"/>
      <c r="BL20" s="38"/>
      <c r="BM20" s="16"/>
      <c r="BN20" s="38"/>
      <c r="BO20" s="16"/>
      <c r="BP20" s="43"/>
      <c r="BQ20" s="16"/>
      <c r="BR20" s="16"/>
      <c r="BS20" s="16"/>
      <c r="BT20" s="16"/>
      <c r="BU20" s="16"/>
      <c r="BV20" s="38"/>
      <c r="BW20" s="16"/>
      <c r="BX20" s="38"/>
      <c r="BY20" s="20"/>
      <c r="BZ20" s="43"/>
      <c r="CA20" s="16"/>
      <c r="CB20" s="16"/>
      <c r="CC20" s="16"/>
      <c r="CD20" s="16"/>
      <c r="CE20" s="16"/>
      <c r="CF20" s="38"/>
      <c r="CG20" s="16"/>
      <c r="CH20" s="38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</row>
    <row r="21" spans="1:134" x14ac:dyDescent="0.25">
      <c r="B21" s="12">
        <v>22.68</v>
      </c>
      <c r="C21" s="30">
        <f>B21/AVERAGE($S10,$Q10)</f>
        <v>0.88077669902912625</v>
      </c>
      <c r="D21" s="12">
        <v>19.48</v>
      </c>
      <c r="E21" s="30">
        <f>D21/AVERAGE($S10,$Q10)</f>
        <v>0.756504854368932</v>
      </c>
      <c r="F21" s="12">
        <v>19.71</v>
      </c>
      <c r="G21" s="30">
        <f>F21/AVERAGE($S10,$Q10)</f>
        <v>0.76543689320388353</v>
      </c>
      <c r="H21" s="34"/>
      <c r="I21" s="274">
        <f>AVERAGE(F21,D21,B21)</f>
        <v>20.623333333333331</v>
      </c>
      <c r="J21" s="30">
        <f>STDEV(D21,F21)/I21</f>
        <v>7.8859492325637423E-3</v>
      </c>
      <c r="L21" s="35"/>
      <c r="M21" s="35"/>
      <c r="N21" s="35"/>
      <c r="O21" s="35"/>
      <c r="P21" s="58"/>
      <c r="Q21" s="58"/>
      <c r="R21" s="58"/>
      <c r="U21" s="38"/>
      <c r="V21" s="38"/>
      <c r="W21" s="38"/>
      <c r="X21" s="16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6"/>
      <c r="AJ21" s="45"/>
      <c r="AK21" s="43"/>
      <c r="AL21" s="12">
        <v>5.17</v>
      </c>
      <c r="AM21" s="12">
        <f>AL21/0.5*10</f>
        <v>103.4</v>
      </c>
      <c r="AN21" s="12">
        <v>9.07</v>
      </c>
      <c r="AO21" s="12">
        <f>AN21/0.5*10</f>
        <v>181.4</v>
      </c>
      <c r="AP21" s="12">
        <v>32.86</v>
      </c>
      <c r="AQ21" s="12">
        <f>AP21/0.5*10</f>
        <v>657.2</v>
      </c>
      <c r="AR21" s="12">
        <v>20.100000000000001</v>
      </c>
      <c r="AS21" s="12">
        <f>AR21/0.5*10</f>
        <v>402</v>
      </c>
      <c r="AT21" s="12"/>
      <c r="AU21" s="12">
        <f>AT21/0.5*20</f>
        <v>0</v>
      </c>
      <c r="AV21" s="45"/>
      <c r="AW21" s="45"/>
      <c r="AX21" s="45"/>
      <c r="AY21" s="45"/>
      <c r="AZ21" s="45"/>
      <c r="BA21" s="45"/>
      <c r="BB21" s="45"/>
      <c r="BC21" s="16"/>
      <c r="BD21" s="45"/>
      <c r="BE21" s="19"/>
      <c r="BF21" s="43"/>
      <c r="BG21" s="16"/>
      <c r="BH21" s="16"/>
      <c r="BI21" s="16"/>
      <c r="BJ21" s="16"/>
      <c r="BK21" s="16"/>
      <c r="BL21" s="38"/>
      <c r="BM21" s="16"/>
      <c r="BN21" s="38"/>
      <c r="BO21" s="16"/>
      <c r="BP21" s="43"/>
      <c r="BQ21" s="16"/>
      <c r="BR21" s="16"/>
      <c r="BS21" s="16"/>
      <c r="BT21" s="16"/>
      <c r="BU21" s="16"/>
      <c r="BV21" s="38"/>
      <c r="BW21" s="16"/>
      <c r="BX21" s="38"/>
      <c r="BY21" s="20"/>
      <c r="BZ21" s="43"/>
      <c r="CA21" s="16"/>
      <c r="CB21" s="16"/>
      <c r="CC21" s="16"/>
      <c r="CD21" s="16"/>
      <c r="CE21" s="16"/>
      <c r="CF21" s="38"/>
      <c r="CG21" s="16"/>
      <c r="CH21" s="38"/>
      <c r="DH21" s="2"/>
      <c r="DI21" s="2"/>
      <c r="DJ21" s="2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</row>
    <row r="22" spans="1:134" ht="15.75" x14ac:dyDescent="0.25">
      <c r="A22" t="s">
        <v>20</v>
      </c>
      <c r="B22" s="52">
        <f>SUM(B20,B21)</f>
        <v>34.99</v>
      </c>
      <c r="C22" s="30">
        <f>B22/AVERAGE($S11,$Q11)</f>
        <v>0.90788790866632074</v>
      </c>
      <c r="D22" s="52">
        <f>SUM(D20,D21)</f>
        <v>29.200000000000003</v>
      </c>
      <c r="E22" s="30">
        <f>D22/AVERAGE($S11,$Q11)</f>
        <v>0.7576543850544889</v>
      </c>
      <c r="F22" s="138">
        <f>SUM(F20,F21)</f>
        <v>29.71</v>
      </c>
      <c r="G22" s="30">
        <f>F22/AVERAGE($S11,$Q11)</f>
        <v>0.77088738972496107</v>
      </c>
      <c r="H22" s="34"/>
      <c r="I22" s="12">
        <f>AVERAGE(F22,D22,B22)</f>
        <v>31.3</v>
      </c>
      <c r="J22" s="30">
        <f>STDEV(D22,F22)/I22</f>
        <v>1.1521548191857437E-2</v>
      </c>
      <c r="L22" s="35"/>
      <c r="M22" s="58"/>
      <c r="N22" s="58"/>
      <c r="O22" s="58"/>
      <c r="P22" s="58"/>
      <c r="Q22" s="58"/>
      <c r="R22" s="58"/>
      <c r="U22" s="38"/>
      <c r="V22" s="38"/>
      <c r="W22" s="38"/>
      <c r="X22" s="16"/>
      <c r="Y22" s="13"/>
      <c r="Z22" s="12"/>
      <c r="AA22" s="13"/>
      <c r="AB22" s="12"/>
      <c r="AC22" s="12"/>
      <c r="AD22" s="12"/>
      <c r="AE22" s="12"/>
      <c r="AF22" s="12"/>
      <c r="AG22" s="12"/>
      <c r="AH22" s="12"/>
      <c r="AI22" s="16"/>
      <c r="AJ22" s="45"/>
      <c r="AK22" s="43"/>
      <c r="AL22" s="12">
        <f>SUM(AL20,AL21)</f>
        <v>8.9699999999999989</v>
      </c>
      <c r="AM22">
        <f>AL22/0.5*10</f>
        <v>179.39999999999998</v>
      </c>
      <c r="AN22" s="12">
        <f>SUM(AN20,AN21)</f>
        <v>16.63</v>
      </c>
      <c r="AO22" s="12">
        <f>AN22/0.5*10</f>
        <v>332.59999999999997</v>
      </c>
      <c r="AP22" s="13">
        <f>SUM(AP20,AP21)</f>
        <v>56.83</v>
      </c>
      <c r="AQ22" s="12">
        <f>AP22/0.5*10</f>
        <v>1136.5999999999999</v>
      </c>
      <c r="AR22" s="13">
        <f>SUM(AR20,AR21)</f>
        <v>37.510000000000005</v>
      </c>
      <c r="AS22" s="12">
        <f>AR22/0.5*10</f>
        <v>750.2</v>
      </c>
      <c r="AT22" s="13">
        <f>SUM(AT20,AT21)</f>
        <v>0</v>
      </c>
      <c r="AU22" s="12">
        <f>AT22/0.5*20</f>
        <v>0</v>
      </c>
      <c r="AV22" s="21" t="s">
        <v>78</v>
      </c>
      <c r="AW22" s="45"/>
      <c r="AX22" s="45"/>
      <c r="AY22" s="45"/>
      <c r="AZ22" s="45"/>
      <c r="BA22" s="45"/>
      <c r="BB22" s="45"/>
      <c r="BC22" s="16"/>
      <c r="BD22" s="45"/>
      <c r="BE22" s="19"/>
      <c r="BF22" s="19"/>
      <c r="BG22" s="16"/>
      <c r="BH22" s="19"/>
      <c r="BI22" s="16"/>
      <c r="BJ22" s="19"/>
      <c r="BK22" s="16"/>
      <c r="BL22" s="38"/>
      <c r="BM22" s="16"/>
      <c r="BN22" s="38"/>
      <c r="BO22" s="19"/>
      <c r="BP22" s="19"/>
      <c r="BQ22" s="16"/>
      <c r="BR22" s="19"/>
      <c r="BS22" s="16"/>
      <c r="BT22" s="19"/>
      <c r="BU22" s="16"/>
      <c r="BV22" s="38"/>
      <c r="BW22" s="16"/>
      <c r="BX22" s="38"/>
      <c r="BY22" s="20"/>
      <c r="BZ22" s="19"/>
      <c r="CA22" s="16"/>
      <c r="CB22" s="19"/>
      <c r="CC22" s="16"/>
      <c r="CD22" s="19"/>
      <c r="CE22" s="16"/>
      <c r="CF22" s="38"/>
      <c r="CG22" s="16"/>
      <c r="CH22" s="38"/>
      <c r="DH22" s="2"/>
      <c r="DI22" s="2"/>
      <c r="DJ22" s="2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</row>
    <row r="23" spans="1:134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37"/>
      <c r="R23" s="37"/>
      <c r="S23" s="1"/>
      <c r="T23" s="1"/>
      <c r="U23" s="37"/>
      <c r="V23" s="37"/>
      <c r="W23" s="37"/>
      <c r="X23" s="19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21"/>
      <c r="AJ23" s="21"/>
      <c r="AK23" s="20"/>
      <c r="AL23" s="31"/>
      <c r="AM23" s="69">
        <f>AM22/AL24</f>
        <v>0.35879999999999995</v>
      </c>
      <c r="AN23" s="31"/>
      <c r="AO23" s="69">
        <f>AO22/AN24</f>
        <v>0.33259999999999995</v>
      </c>
      <c r="AP23" s="31"/>
      <c r="AQ23" s="69">
        <f>AQ22/AP24</f>
        <v>0.56829999999999992</v>
      </c>
      <c r="AR23" s="31"/>
      <c r="AS23" s="69">
        <f>AS22/AR24</f>
        <v>0.25006666666666666</v>
      </c>
      <c r="AT23" s="31"/>
      <c r="AU23" s="69">
        <f>AU22/AT24</f>
        <v>0</v>
      </c>
      <c r="AV23" s="2">
        <f>AVERAGE(AM23,AO23,AQ23,AS23,AU23)</f>
        <v>0.3019533333333333</v>
      </c>
      <c r="AW23" s="73"/>
      <c r="AX23" s="21"/>
      <c r="AY23" s="21"/>
      <c r="AZ23" s="21"/>
      <c r="BA23" s="21"/>
      <c r="BB23" s="21"/>
      <c r="BC23" s="21"/>
      <c r="BD23" s="21"/>
      <c r="BE23" s="20"/>
      <c r="BF23" s="66"/>
      <c r="BG23" s="66"/>
      <c r="BH23" s="66"/>
      <c r="BI23" s="66"/>
      <c r="BJ23" s="66"/>
      <c r="BK23" s="66"/>
      <c r="BL23" s="21"/>
      <c r="BM23" s="66"/>
      <c r="BN23" s="66"/>
      <c r="BO23" s="21"/>
      <c r="BP23" s="66"/>
      <c r="BQ23" s="66"/>
      <c r="BR23" s="66"/>
      <c r="BS23" s="66"/>
      <c r="BT23" s="66"/>
      <c r="BU23" s="66"/>
      <c r="BV23" s="21"/>
      <c r="BW23" s="66"/>
      <c r="BX23" s="66"/>
      <c r="BY23" s="16"/>
      <c r="BZ23" s="66"/>
      <c r="CA23" s="66"/>
      <c r="CB23" s="66"/>
      <c r="CC23" s="66"/>
      <c r="CD23" s="66"/>
      <c r="CE23" s="66"/>
      <c r="CF23" s="21"/>
      <c r="CG23" s="66"/>
      <c r="CH23" s="66"/>
    </row>
    <row r="24" spans="1:134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19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22"/>
      <c r="AJ24" s="22"/>
      <c r="AK24" s="44"/>
      <c r="AL24" s="32">
        <v>500</v>
      </c>
      <c r="AM24" s="59"/>
      <c r="AN24" s="59">
        <v>1000</v>
      </c>
      <c r="AO24" s="59"/>
      <c r="AP24" s="59">
        <v>2000</v>
      </c>
      <c r="AQ24" s="59"/>
      <c r="AR24" s="59">
        <v>3000</v>
      </c>
      <c r="AS24" s="59"/>
      <c r="AT24" s="59">
        <v>4000</v>
      </c>
      <c r="AU24" s="32"/>
      <c r="AV24" s="22"/>
      <c r="AW24" s="22"/>
      <c r="AX24" s="22"/>
      <c r="AY24" s="22"/>
      <c r="AZ24" s="22"/>
      <c r="BA24" s="22"/>
      <c r="BB24" s="22"/>
      <c r="BC24" s="22"/>
      <c r="BD24" s="22"/>
      <c r="BE24" s="44"/>
      <c r="BF24" s="67"/>
      <c r="BG24" s="67"/>
      <c r="BH24" s="67"/>
      <c r="BI24" s="67"/>
      <c r="BJ24" s="67"/>
      <c r="BK24" s="67"/>
      <c r="BL24" s="22"/>
      <c r="BM24" s="67"/>
      <c r="BN24" s="67"/>
      <c r="BO24" s="22"/>
      <c r="BP24" s="67"/>
      <c r="BQ24" s="67"/>
      <c r="BR24" s="67"/>
      <c r="BS24" s="67"/>
      <c r="BT24" s="67"/>
      <c r="BU24" s="67"/>
      <c r="BV24" s="22"/>
      <c r="BW24" s="67"/>
      <c r="BX24" s="67"/>
      <c r="BY24" s="19"/>
      <c r="BZ24" s="67"/>
      <c r="CA24" s="67"/>
      <c r="CB24" s="67"/>
      <c r="CC24" s="67"/>
      <c r="CD24" s="67"/>
      <c r="CE24" s="67"/>
      <c r="CF24" s="22"/>
      <c r="CG24" s="67"/>
      <c r="CH24" s="67"/>
    </row>
    <row r="25" spans="1:134" x14ac:dyDescent="0.25">
      <c r="A25" t="s">
        <v>2</v>
      </c>
      <c r="B25" s="30">
        <f>ABS(B22-B24)/B24</f>
        <v>0.12524999999999994</v>
      </c>
      <c r="C25" s="33"/>
      <c r="D25" s="98">
        <f>ABS(D22-D24)/D24</f>
        <v>0.26999999999999991</v>
      </c>
      <c r="E25" s="34"/>
      <c r="F25" s="98">
        <f>ABS(F22-F24)/F24</f>
        <v>0.25724999999999998</v>
      </c>
      <c r="G25" s="34"/>
      <c r="H25" s="34"/>
      <c r="I25" s="34"/>
      <c r="J25" s="34"/>
      <c r="L25" s="23"/>
      <c r="M25" s="23"/>
      <c r="N25" s="23"/>
      <c r="O25" s="23"/>
      <c r="P25" s="23"/>
      <c r="Q25" s="23"/>
      <c r="R25" s="23"/>
      <c r="S25" s="38"/>
      <c r="T25" s="38"/>
      <c r="U25" s="19"/>
      <c r="V25" s="19"/>
      <c r="W25" s="19"/>
      <c r="X25" s="19"/>
      <c r="Y25" s="45"/>
      <c r="Z25" s="23"/>
      <c r="AA25" s="45"/>
      <c r="AB25" s="38"/>
      <c r="AC25" s="45"/>
      <c r="AD25" s="38"/>
      <c r="AE25" s="38"/>
      <c r="AF25" s="38"/>
      <c r="AG25" s="38"/>
      <c r="AH25" s="38"/>
      <c r="AI25" s="38"/>
      <c r="AJ25" s="38"/>
      <c r="AK25" s="16"/>
      <c r="AL25" s="30">
        <f>ABS(AM22-AL24)/AL24</f>
        <v>0.64119999999999999</v>
      </c>
      <c r="AM25" s="23"/>
      <c r="AN25" s="30">
        <f>ABS(AO22-AN24)/AN24</f>
        <v>0.6674000000000001</v>
      </c>
      <c r="AO25" s="38"/>
      <c r="AP25" s="30">
        <f>ABS(AQ22-AP24)/AP24</f>
        <v>0.43170000000000003</v>
      </c>
      <c r="AQ25" s="38"/>
      <c r="AR25" s="30">
        <f>ABS(AS22-AR24)/AR24</f>
        <v>0.74993333333333334</v>
      </c>
      <c r="AS25" s="38"/>
      <c r="AT25" s="30">
        <f>ABS(AU22-AT24)/AT24</f>
        <v>1</v>
      </c>
      <c r="AU25" s="16"/>
      <c r="AV25" s="2"/>
      <c r="AW25" s="2"/>
      <c r="AX25" s="2"/>
      <c r="AY25" s="2"/>
      <c r="AZ25" s="49"/>
      <c r="BA25" s="38"/>
      <c r="BB25" s="38"/>
      <c r="BC25" s="38"/>
      <c r="BD25" s="38"/>
      <c r="BE25" s="16"/>
      <c r="BF25" s="38"/>
      <c r="BG25" s="23"/>
      <c r="BH25" s="23"/>
      <c r="BI25" s="38"/>
      <c r="BJ25" s="23"/>
      <c r="BK25" s="38"/>
      <c r="BL25" s="38"/>
      <c r="BM25" s="38"/>
      <c r="BN25" s="38"/>
      <c r="BO25" s="20"/>
      <c r="BP25" s="23"/>
      <c r="BQ25" s="23"/>
      <c r="BR25" s="23"/>
      <c r="BS25" s="38"/>
      <c r="BT25" s="23"/>
      <c r="BU25" s="38"/>
      <c r="BV25" s="38"/>
      <c r="BW25" s="38"/>
      <c r="BX25" s="38"/>
      <c r="BY25" s="16"/>
      <c r="BZ25" s="38"/>
      <c r="CA25" s="23"/>
      <c r="CB25" s="38"/>
      <c r="CC25" s="38"/>
      <c r="CD25" s="23"/>
      <c r="CE25" s="38"/>
      <c r="CF25" s="38"/>
      <c r="CG25" s="38"/>
      <c r="CH25" s="38"/>
    </row>
    <row r="26" spans="1:134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M26" s="35"/>
      <c r="N26" s="35"/>
      <c r="O26" s="35"/>
      <c r="V26" s="35"/>
      <c r="AZ26" s="35"/>
      <c r="BA26" s="35"/>
      <c r="BB26" s="35"/>
      <c r="BC26" s="35"/>
      <c r="BD26" s="35"/>
      <c r="BE26" s="35"/>
    </row>
    <row r="27" spans="1:134" x14ac:dyDescent="0.25">
      <c r="Y27" s="102"/>
      <c r="AM27" s="134"/>
      <c r="AO27" s="134"/>
      <c r="AQ27" s="134"/>
      <c r="AU27" s="134"/>
      <c r="AW27" s="134"/>
    </row>
    <row r="28" spans="1:134" x14ac:dyDescent="0.25">
      <c r="A28" t="s">
        <v>26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134" x14ac:dyDescent="0.25">
      <c r="A29" t="s">
        <v>3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134" x14ac:dyDescent="0.25">
      <c r="A30" t="str">
        <f>"-OR-"</f>
        <v>-OR-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134" x14ac:dyDescent="0.25">
      <c r="A31" t="s">
        <v>24</v>
      </c>
      <c r="X31" s="16"/>
      <c r="Y31" s="17"/>
      <c r="Z31" s="18"/>
      <c r="AA31" s="60"/>
      <c r="AB31" s="18"/>
      <c r="AC31" s="60"/>
      <c r="AD31" s="18"/>
      <c r="AE31" s="60"/>
      <c r="AF31" s="18"/>
      <c r="AG31" s="60"/>
      <c r="AH31" s="18"/>
      <c r="AI31" s="16"/>
    </row>
    <row r="32" spans="1:134" x14ac:dyDescent="0.25">
      <c r="A32" t="s">
        <v>25</v>
      </c>
      <c r="X32" s="16"/>
      <c r="Y32" s="16"/>
      <c r="Z32" s="23"/>
      <c r="AA32" s="16"/>
      <c r="AB32" s="23"/>
      <c r="AC32" s="16"/>
      <c r="AD32" s="23"/>
      <c r="AE32" s="16"/>
      <c r="AF32" s="23"/>
      <c r="AG32" s="16"/>
      <c r="AH32" s="23"/>
      <c r="AI32" s="16"/>
    </row>
    <row r="33" spans="1:35" x14ac:dyDescent="0.25">
      <c r="X33" s="16"/>
      <c r="Y33" s="16"/>
      <c r="Z33" s="38"/>
      <c r="AA33" s="16"/>
      <c r="AB33" s="38"/>
      <c r="AC33" s="16"/>
      <c r="AD33" s="38"/>
      <c r="AE33" s="16"/>
      <c r="AF33" s="23"/>
      <c r="AG33" s="16"/>
      <c r="AH33" s="23"/>
      <c r="AI33" s="16"/>
    </row>
    <row r="34" spans="1:35" x14ac:dyDescent="0.25">
      <c r="A34" t="s">
        <v>23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pans="1:35" x14ac:dyDescent="0.25">
      <c r="A35" t="s">
        <v>18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25">
      <c r="X36" s="16"/>
      <c r="Y36" s="19"/>
      <c r="Z36" s="16"/>
      <c r="AA36" s="19"/>
      <c r="AB36" s="16"/>
      <c r="AC36" s="19"/>
      <c r="AD36" s="16"/>
      <c r="AE36" s="19"/>
      <c r="AF36" s="16"/>
      <c r="AG36" s="19"/>
      <c r="AH36" s="16"/>
      <c r="AI36" s="16"/>
    </row>
    <row r="37" spans="1:35" x14ac:dyDescent="0.25">
      <c r="A37" t="s">
        <v>19</v>
      </c>
      <c r="X37" s="16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6"/>
    </row>
    <row r="38" spans="1:35" x14ac:dyDescent="0.25">
      <c r="A38" t="s">
        <v>3</v>
      </c>
      <c r="X38" s="16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6"/>
    </row>
    <row r="39" spans="1:35" x14ac:dyDescent="0.25">
      <c r="X39" s="16"/>
      <c r="Y39" s="45"/>
      <c r="Z39" s="23"/>
      <c r="AA39" s="45"/>
      <c r="AB39" s="38"/>
      <c r="AC39" s="45"/>
      <c r="AD39" s="38"/>
      <c r="AE39" s="38"/>
      <c r="AF39" s="38"/>
      <c r="AG39" s="38"/>
      <c r="AH39" s="38"/>
      <c r="AI39" s="16"/>
    </row>
    <row r="40" spans="1:35" x14ac:dyDescent="0.25">
      <c r="A40" t="s">
        <v>14</v>
      </c>
      <c r="X40" s="16"/>
      <c r="Y40" s="38"/>
      <c r="Z40" s="16"/>
      <c r="AA40" s="38"/>
      <c r="AB40" s="16"/>
      <c r="AC40" s="38"/>
      <c r="AD40" s="16"/>
      <c r="AE40" s="135"/>
      <c r="AF40" s="16"/>
      <c r="AG40" s="135"/>
      <c r="AH40" s="16"/>
      <c r="AI40" s="16"/>
    </row>
    <row r="41" spans="1:35" x14ac:dyDescent="0.25">
      <c r="A41" t="s">
        <v>4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5" x14ac:dyDescent="0.25">
      <c r="X42" s="16"/>
      <c r="Y42" s="17"/>
      <c r="Z42" s="18"/>
      <c r="AA42" s="60"/>
      <c r="AB42" s="18"/>
      <c r="AC42" s="60"/>
      <c r="AD42" s="18"/>
      <c r="AE42" s="60"/>
      <c r="AF42" s="18"/>
      <c r="AG42" s="60"/>
      <c r="AH42" s="18"/>
      <c r="AI42" s="16"/>
    </row>
    <row r="43" spans="1:35" x14ac:dyDescent="0.25">
      <c r="A43" t="s">
        <v>27</v>
      </c>
      <c r="X43" s="16"/>
      <c r="Y43" s="16"/>
      <c r="Z43" s="23"/>
      <c r="AA43" s="16"/>
      <c r="AB43" s="23"/>
      <c r="AC43" s="16"/>
      <c r="AD43" s="23"/>
      <c r="AE43" s="16"/>
      <c r="AF43" s="23"/>
      <c r="AG43" s="16"/>
      <c r="AH43" s="23"/>
      <c r="AI43" s="16"/>
    </row>
    <row r="44" spans="1:35" x14ac:dyDescent="0.25">
      <c r="A44" t="s">
        <v>28</v>
      </c>
      <c r="X44" s="16"/>
      <c r="Y44" s="16"/>
      <c r="Z44" s="38"/>
      <c r="AA44" s="16"/>
      <c r="AB44" s="38"/>
      <c r="AC44" s="16"/>
      <c r="AD44" s="38"/>
      <c r="AE44" s="16"/>
      <c r="AF44" s="23"/>
      <c r="AG44" s="16"/>
      <c r="AH44" s="38"/>
      <c r="AI44" s="16"/>
    </row>
    <row r="45" spans="1:35" x14ac:dyDescent="0.25">
      <c r="A45" t="s">
        <v>29</v>
      </c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9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9"/>
      <c r="Y47" s="19"/>
      <c r="Z47" s="16"/>
      <c r="AA47" s="19"/>
      <c r="AB47" s="16"/>
      <c r="AC47" s="16"/>
      <c r="AD47" s="16"/>
      <c r="AE47" s="16"/>
      <c r="AF47" s="16"/>
      <c r="AG47" s="16"/>
      <c r="AH47" s="16"/>
      <c r="AI47" s="16"/>
    </row>
    <row r="48" spans="1:35" x14ac:dyDescent="0.25">
      <c r="X48" s="16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6"/>
    </row>
    <row r="49" spans="24:35" x14ac:dyDescent="0.25">
      <c r="X49" s="16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6"/>
    </row>
    <row r="50" spans="24:35" x14ac:dyDescent="0.25"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</sheetData>
  <pageMargins left="0.7" right="0.7" top="0.75" bottom="0.75" header="0.3" footer="0.3"/>
  <pageSetup orientation="portrait" r:id="rId1"/>
  <ignoredErrors>
    <ignoredError sqref="F11 AM11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 tint="0.39997558519241921"/>
  </sheetPr>
  <dimension ref="A1:T13"/>
  <sheetViews>
    <sheetView zoomScale="60" zoomScaleNormal="60" workbookViewId="0">
      <selection activeCell="F5" sqref="F5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0.78</v>
      </c>
      <c r="C4" s="119">
        <v>0.82</v>
      </c>
      <c r="D4" s="119">
        <v>0.84583829561995516</v>
      </c>
      <c r="E4" s="120"/>
      <c r="F4" s="121">
        <v>0.89888579387186629</v>
      </c>
      <c r="G4" s="121">
        <v>0.89888579387186629</v>
      </c>
      <c r="H4" s="122">
        <v>0.82</v>
      </c>
      <c r="I4" s="123">
        <v>0.84350990699555195</v>
      </c>
      <c r="J4" s="126">
        <v>0.80905121079793574</v>
      </c>
      <c r="K4" s="126">
        <v>0.9</v>
      </c>
      <c r="L4" s="126">
        <v>0.8</v>
      </c>
      <c r="M4" s="126">
        <v>0.87</v>
      </c>
      <c r="N4" s="126">
        <v>0.81</v>
      </c>
      <c r="O4" s="126">
        <v>0.79</v>
      </c>
      <c r="P4" s="126">
        <v>0.86</v>
      </c>
      <c r="Q4" s="126">
        <v>0.82</v>
      </c>
      <c r="R4" s="126">
        <v>0.81</v>
      </c>
      <c r="S4" s="126">
        <v>0.9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65.25" customHeight="1" x14ac:dyDescent="0.25">
      <c r="A10" s="116" t="s">
        <v>96</v>
      </c>
      <c r="B10" s="97" t="s">
        <v>163</v>
      </c>
      <c r="C10" s="253"/>
      <c r="D10" s="76"/>
      <c r="E10" s="76"/>
      <c r="F10" s="74"/>
      <c r="G10" s="74"/>
      <c r="H10" s="74"/>
      <c r="I10" s="74"/>
      <c r="J10" s="75" t="s">
        <v>134</v>
      </c>
      <c r="K10" s="12">
        <v>327.60000000000002</v>
      </c>
      <c r="L10" s="12">
        <v>619.1</v>
      </c>
      <c r="M10" s="12">
        <v>924.5</v>
      </c>
      <c r="N10" s="71">
        <v>2772.5</v>
      </c>
      <c r="O10" s="12">
        <v>2642.8</v>
      </c>
      <c r="P10" s="16"/>
      <c r="Q10" s="16"/>
      <c r="R10" s="16"/>
    </row>
    <row r="11" spans="1:20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60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0.39997558519241921"/>
  </sheetPr>
  <dimension ref="A2:GU47"/>
  <sheetViews>
    <sheetView zoomScale="80" zoomScaleNormal="80" zoomScaleSheetLayoutView="40" workbookViewId="0">
      <pane xSplit="1" topLeftCell="AM1" activePane="topRight" state="frozen"/>
      <selection pane="topRight" activeCell="R8" sqref="R8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7" width="10.7109375" customWidth="1"/>
    <col min="18" max="18" width="11.7109375" customWidth="1"/>
    <col min="20" max="20" width="11.5703125" customWidth="1"/>
    <col min="22" max="22" width="13.5703125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160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t="s">
        <v>161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1.01</v>
      </c>
      <c r="C7" s="29">
        <f>B7/AVERAGE($M7,$N7)</f>
        <v>2.7839029768467475E-2</v>
      </c>
      <c r="D7" s="12">
        <v>0.96</v>
      </c>
      <c r="E7" s="29">
        <f>D7/AVERAGE($M7,$N7)</f>
        <v>2.646085997794928E-2</v>
      </c>
      <c r="F7" s="12">
        <v>1.1399999999999999</v>
      </c>
      <c r="G7" s="29">
        <f>F7/AVERAGE($M7,$N7)</f>
        <v>3.1422271223814767E-2</v>
      </c>
      <c r="H7" s="33"/>
      <c r="I7" s="274">
        <f>AVERAGE(B7,D7,F7)</f>
        <v>1.0366666666666666</v>
      </c>
      <c r="J7" s="30">
        <f>STDEV(B7,D7,F7)/I7</f>
        <v>8.9629323889172663E-2</v>
      </c>
      <c r="K7" s="19"/>
      <c r="L7" s="12">
        <v>36.14</v>
      </c>
      <c r="M7" s="12">
        <v>35.94</v>
      </c>
      <c r="N7" s="12">
        <v>36.619999999999997</v>
      </c>
      <c r="O7" s="12">
        <v>36.46</v>
      </c>
      <c r="P7" s="12">
        <v>35.49</v>
      </c>
      <c r="Q7" s="12">
        <v>37.619999999999997</v>
      </c>
      <c r="R7" s="53">
        <f>AVERAGE($L7,$O7)</f>
        <v>36.299999999999997</v>
      </c>
      <c r="S7" s="54">
        <f>ABS(L7-O7)/AVERAGE(O7,L7)</f>
        <v>8.8154269972451869E-3</v>
      </c>
      <c r="T7" s="38"/>
      <c r="U7" s="38"/>
      <c r="V7" s="16"/>
      <c r="W7" s="12">
        <v>1.05</v>
      </c>
      <c r="X7" s="29">
        <f>W7/AVERAGE($M7,$N7)</f>
        <v>2.8941565600882031E-2</v>
      </c>
      <c r="Y7" s="12">
        <v>1.46</v>
      </c>
      <c r="Z7" s="29">
        <f>Y7/AVERAGE($M7,$N7)</f>
        <v>4.0242557883131198E-2</v>
      </c>
      <c r="AA7" s="12">
        <v>1</v>
      </c>
      <c r="AB7" s="29">
        <f>AA7/AVERAGE($M7,$N7)</f>
        <v>2.7563395810363836E-2</v>
      </c>
      <c r="AC7" s="12">
        <v>0.92</v>
      </c>
      <c r="AD7" s="29">
        <f>AC7/AVERAGE($M7,$N7)</f>
        <v>2.5358324145534732E-2</v>
      </c>
      <c r="AE7" s="12">
        <v>0.86</v>
      </c>
      <c r="AF7" s="29">
        <f>AE7/AVERAGE($M7,$N7)</f>
        <v>2.3704520396912898E-2</v>
      </c>
      <c r="AG7" s="16"/>
      <c r="AH7" s="38"/>
      <c r="AI7" s="20"/>
      <c r="AJ7" s="12" t="s">
        <v>158</v>
      </c>
      <c r="AK7" s="12"/>
      <c r="AL7" s="12" t="s">
        <v>159</v>
      </c>
      <c r="AM7" s="12"/>
      <c r="AN7" s="12" t="s">
        <v>158</v>
      </c>
      <c r="AO7" s="12"/>
      <c r="AP7" s="12" t="s">
        <v>159</v>
      </c>
      <c r="AQ7" s="12"/>
      <c r="AR7" s="12" t="s">
        <v>159</v>
      </c>
      <c r="AS7" s="12"/>
      <c r="AT7" s="43"/>
      <c r="AU7" s="12">
        <v>1.02</v>
      </c>
      <c r="AV7" s="29">
        <f>AU7/AVERAGE($L7,$M7,$O7,$P7)</f>
        <v>2.8327431785044783E-2</v>
      </c>
      <c r="AW7" s="12">
        <v>1.1100000000000001</v>
      </c>
      <c r="AX7" s="29">
        <f>AW7/AVERAGE($L7,$M7,$O7,$P7)</f>
        <v>3.0826911060195795E-2</v>
      </c>
      <c r="AY7" s="12">
        <v>1.1200000000000001</v>
      </c>
      <c r="AZ7" s="29">
        <f>AY7/AVERAGE($L7,$M7,$O7,$P7)</f>
        <v>3.110463097965702E-2</v>
      </c>
      <c r="BA7" s="12">
        <v>0.97</v>
      </c>
      <c r="BB7" s="29">
        <f>BA7/AVERAGE($L7,$M7,$O7,$P7)</f>
        <v>2.6938832187738664E-2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29.34</v>
      </c>
      <c r="C8" s="30">
        <f>B8/AVERAGE($M8,$N8)</f>
        <v>0.77649861055974601</v>
      </c>
      <c r="D8" s="12">
        <v>31.09</v>
      </c>
      <c r="E8" s="30">
        <f>D8/AVERAGE($M8,$N8)</f>
        <v>0.82281328569538181</v>
      </c>
      <c r="F8" s="12">
        <v>31.96</v>
      </c>
      <c r="G8" s="30">
        <f>F8/AVERAGE($M8,$N8)</f>
        <v>0.84583829561995516</v>
      </c>
      <c r="H8" s="34"/>
      <c r="I8" s="274">
        <f>AVERAGE(B8,D8,F8)</f>
        <v>30.796666666666667</v>
      </c>
      <c r="J8" s="30">
        <f>STDEV(B8,D8,F8)/I8</f>
        <v>4.3329485994322743E-2</v>
      </c>
      <c r="K8" s="19"/>
      <c r="L8" s="12">
        <v>37</v>
      </c>
      <c r="M8" s="12">
        <v>37.659999999999997</v>
      </c>
      <c r="N8" s="12">
        <v>37.909999999999997</v>
      </c>
      <c r="O8" s="12">
        <v>37.99</v>
      </c>
      <c r="P8" s="12">
        <v>36.200000000000003</v>
      </c>
      <c r="Q8" s="12">
        <v>35.6</v>
      </c>
      <c r="R8" s="141">
        <f>AVERAGE($L8,$O8)</f>
        <v>37.495000000000005</v>
      </c>
      <c r="S8" s="54">
        <f>ABS(L8-O8)/AVERAGE(O8,L8)</f>
        <v>2.640352046939597E-2</v>
      </c>
      <c r="T8" s="38"/>
      <c r="U8" s="38"/>
      <c r="V8" s="16"/>
      <c r="W8" s="12">
        <v>30.57</v>
      </c>
      <c r="X8" s="30">
        <f>W8/AVERAGE($M8,$N8)</f>
        <v>0.80905121079793574</v>
      </c>
      <c r="Y8" s="12">
        <v>33.840000000000003</v>
      </c>
      <c r="Z8" s="30">
        <f>Y8/AVERAGE($M8,$N8)</f>
        <v>0.89559348947995254</v>
      </c>
      <c r="AA8" s="12">
        <v>30.32</v>
      </c>
      <c r="AB8" s="30">
        <f>AA8/AVERAGE($M8,$N8)</f>
        <v>0.80243482863570204</v>
      </c>
      <c r="AC8" s="12">
        <v>33.04</v>
      </c>
      <c r="AD8" s="30">
        <f>AC8/AVERAGE($M8,$N8)</f>
        <v>0.87442106656080465</v>
      </c>
      <c r="AE8" s="12">
        <v>30.48</v>
      </c>
      <c r="AF8" s="30">
        <f>AE8/AVERAGE($M8,$N8)</f>
        <v>0.80666931321953161</v>
      </c>
      <c r="AG8" s="16"/>
      <c r="AH8" s="23"/>
      <c r="AI8" s="20"/>
      <c r="AJ8" s="12" t="s">
        <v>158</v>
      </c>
      <c r="AK8" s="12"/>
      <c r="AL8" s="12" t="s">
        <v>159</v>
      </c>
      <c r="AM8" s="12"/>
      <c r="AN8" s="12" t="s">
        <v>158</v>
      </c>
      <c r="AO8" s="12"/>
      <c r="AP8" s="12" t="s">
        <v>159</v>
      </c>
      <c r="AQ8" s="12"/>
      <c r="AR8" s="12" t="s">
        <v>159</v>
      </c>
      <c r="AS8" s="12"/>
      <c r="AT8" s="43"/>
      <c r="AU8" s="12">
        <v>30.61</v>
      </c>
      <c r="AV8" s="30">
        <f>AU8/AVERAGE($L8,$M8)</f>
        <v>0.81998392713635149</v>
      </c>
      <c r="AW8" s="12">
        <v>30.86</v>
      </c>
      <c r="AX8" s="30">
        <f>AW8/AVERAGE($L8,$M8)</f>
        <v>0.82668095365657646</v>
      </c>
      <c r="AY8" s="12">
        <v>31.27</v>
      </c>
      <c r="AZ8" s="30">
        <f>AY8/AVERAGE($L8,$M8)</f>
        <v>0.83766407714974556</v>
      </c>
      <c r="BA8" s="12">
        <v>31.29</v>
      </c>
      <c r="BB8" s="30">
        <f>BA8/AVERAGE($O8,$P8)</f>
        <v>0.84350990699555195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8.77</v>
      </c>
      <c r="C9" s="30">
        <f>B9/AVERAGE($M9,$N9)</f>
        <v>0.7296173044925125</v>
      </c>
      <c r="D9" s="12">
        <v>10.74</v>
      </c>
      <c r="E9" s="30">
        <f>D9/AVERAGE($M9,$N9)</f>
        <v>0.89351081530782039</v>
      </c>
      <c r="F9" s="12">
        <v>10.88</v>
      </c>
      <c r="G9" s="30">
        <f>F9/AVERAGE($M9,$N9)</f>
        <v>0.90515806988352754</v>
      </c>
      <c r="H9" s="34"/>
      <c r="I9" s="12">
        <f>AVERAGE(B9,D9,F9)</f>
        <v>10.130000000000001</v>
      </c>
      <c r="J9" s="30">
        <f>STDEV(B9,D9,F9)/I9</f>
        <v>0.11647313667404716</v>
      </c>
      <c r="K9" s="16"/>
      <c r="L9" s="12">
        <v>11.14</v>
      </c>
      <c r="M9" s="12">
        <v>11.9</v>
      </c>
      <c r="N9" s="12">
        <v>12.14</v>
      </c>
      <c r="O9" s="12">
        <v>13.25</v>
      </c>
      <c r="P9" s="12">
        <v>12.25</v>
      </c>
      <c r="Q9" s="12">
        <v>11.95</v>
      </c>
      <c r="R9" s="141">
        <f>AVERAGE($L9,$O9)</f>
        <v>12.195</v>
      </c>
      <c r="S9" s="54">
        <f>ABS(L9-O9)/AVERAGE(O9,L9)</f>
        <v>0.17302173021730213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7.02</v>
      </c>
      <c r="AK9" s="12">
        <f>AJ9/0.5*10</f>
        <v>140.39999999999998</v>
      </c>
      <c r="AL9" s="12">
        <v>10.66</v>
      </c>
      <c r="AM9" s="12">
        <f>AL9/0.5*10</f>
        <v>213.2</v>
      </c>
      <c r="AN9" s="12">
        <v>16.71</v>
      </c>
      <c r="AO9" s="12">
        <f>AN9/0.5*10</f>
        <v>334.20000000000005</v>
      </c>
      <c r="AP9" s="12">
        <v>53.03</v>
      </c>
      <c r="AQ9" s="12">
        <f>AP9/0.5*10</f>
        <v>1060.5999999999999</v>
      </c>
      <c r="AR9" s="12">
        <v>22.44</v>
      </c>
      <c r="AS9" s="12">
        <f>AR9/0.5*20</f>
        <v>897.6</v>
      </c>
      <c r="AT9" s="45"/>
      <c r="AU9" s="12" t="s">
        <v>159</v>
      </c>
      <c r="AV9" s="12"/>
      <c r="AW9" s="12" t="s">
        <v>159</v>
      </c>
      <c r="AX9" s="12"/>
      <c r="AY9" s="12" t="s">
        <v>159</v>
      </c>
      <c r="AZ9" s="12"/>
      <c r="BA9" s="12" t="s">
        <v>159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18.170000000000002</v>
      </c>
      <c r="C10" s="30">
        <f>B10/AVERAGE($M10,$N10)</f>
        <v>0.7000577923328839</v>
      </c>
      <c r="D10" s="12">
        <v>26.62</v>
      </c>
      <c r="E10" s="30">
        <f>D10/AVERAGE($M10,$N10)</f>
        <v>1.0256212675785013</v>
      </c>
      <c r="F10" s="12">
        <v>21.49</v>
      </c>
      <c r="G10" s="30">
        <f>F10/AVERAGE($M10,$N10)</f>
        <v>0.82797148911577734</v>
      </c>
      <c r="H10" s="34"/>
      <c r="I10" s="274">
        <f>AVERAGE(B10,D10,F10)</f>
        <v>22.093333333333334</v>
      </c>
      <c r="J10" s="30">
        <f>STDEV(B10,D10,F10)/I10</f>
        <v>0.19269098136372195</v>
      </c>
      <c r="K10" s="16"/>
      <c r="L10" s="12">
        <v>24.57</v>
      </c>
      <c r="M10" s="12">
        <v>26.86</v>
      </c>
      <c r="N10" s="12">
        <v>25.05</v>
      </c>
      <c r="O10" s="12">
        <v>27.55</v>
      </c>
      <c r="P10" s="12">
        <v>26.71</v>
      </c>
      <c r="Q10" s="12">
        <v>28.43</v>
      </c>
      <c r="R10" s="53">
        <f>AVERAGE($L10,$O10)</f>
        <v>26.060000000000002</v>
      </c>
      <c r="S10" s="54">
        <f>ABS(L10-O10)/AVERAGE(O10,L10)</f>
        <v>0.11435149654643131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15.55</v>
      </c>
      <c r="AK10" s="12">
        <f>AJ10/0.5*10</f>
        <v>311</v>
      </c>
      <c r="AL10" s="12">
        <v>23.64</v>
      </c>
      <c r="AM10" s="12">
        <f>AL10/0.5*10</f>
        <v>472.8</v>
      </c>
      <c r="AN10" s="12">
        <v>36.369999999999997</v>
      </c>
      <c r="AO10" s="12">
        <f>AN10/0.5*10</f>
        <v>727.4</v>
      </c>
      <c r="AP10" s="12">
        <v>116.68</v>
      </c>
      <c r="AQ10" s="12">
        <f>AP10/0.5*10</f>
        <v>2333.6000000000004</v>
      </c>
      <c r="AR10" s="12">
        <v>49.77</v>
      </c>
      <c r="AS10" s="12">
        <f>AR10/0.5*20</f>
        <v>1990.8000000000002</v>
      </c>
      <c r="AT10" s="45"/>
      <c r="AU10" s="12" t="s">
        <v>159</v>
      </c>
      <c r="AV10" s="12"/>
      <c r="AW10" s="12" t="s">
        <v>159</v>
      </c>
      <c r="AX10" s="12"/>
      <c r="AY10" s="12" t="s">
        <v>159</v>
      </c>
      <c r="AZ10" s="12"/>
      <c r="BA10" s="12" t="s">
        <v>159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26.94</v>
      </c>
      <c r="C11" s="30">
        <f>B11/AVERAGE($M11,$N11)</f>
        <v>0.70941408821593166</v>
      </c>
      <c r="D11" s="52">
        <f>SUM(D$10+D$9)</f>
        <v>37.36</v>
      </c>
      <c r="E11" s="30">
        <f>D11/AVERAGE($M11,$N11)</f>
        <v>0.98380513495720878</v>
      </c>
      <c r="F11" s="52">
        <f>SUM(F$10+F$9)</f>
        <v>32.369999999999997</v>
      </c>
      <c r="G11" s="30">
        <f>F11/AVERAGE($M11,$N11)</f>
        <v>0.852402896642528</v>
      </c>
      <c r="H11" s="34"/>
      <c r="I11" s="12">
        <f>AVERAGE(B11,D11)</f>
        <v>32.15</v>
      </c>
      <c r="J11" s="30">
        <f>STDEV(B11,D11,F11)/I11</f>
        <v>0.16210102875735122</v>
      </c>
      <c r="K11" s="19"/>
      <c r="L11" s="279">
        <f t="shared" ref="L11:Q11" si="0">SUM(L9,L10)</f>
        <v>35.71</v>
      </c>
      <c r="M11" s="52">
        <f t="shared" si="0"/>
        <v>38.76</v>
      </c>
      <c r="N11" s="52">
        <f t="shared" si="0"/>
        <v>37.19</v>
      </c>
      <c r="O11" s="12">
        <f t="shared" si="0"/>
        <v>40.799999999999997</v>
      </c>
      <c r="P11" s="52">
        <f t="shared" si="0"/>
        <v>38.96</v>
      </c>
      <c r="Q11" s="52">
        <f t="shared" si="0"/>
        <v>40.379999999999995</v>
      </c>
      <c r="R11" s="141">
        <f>AVERAGE($L11,$O11)</f>
        <v>38.254999999999995</v>
      </c>
      <c r="S11" s="54">
        <f>ABS(L11-O11)/AVERAGE(O11,L11)</f>
        <v>0.13305450267938823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3">
        <f>SUM(AJ10,AJ9)</f>
        <v>22.57</v>
      </c>
      <c r="AK11" s="12">
        <f>AJ11/0.5*10</f>
        <v>451.4</v>
      </c>
      <c r="AL11" s="13">
        <f>SUM(AL10,AL9)</f>
        <v>34.299999999999997</v>
      </c>
      <c r="AM11" s="12">
        <f>AL11/0.5*10</f>
        <v>686</v>
      </c>
      <c r="AN11" s="13">
        <f>SUM(AN10,AN9)</f>
        <v>53.08</v>
      </c>
      <c r="AO11" s="12">
        <f>AN11/0.5*10</f>
        <v>1061.5999999999999</v>
      </c>
      <c r="AP11" s="13">
        <f>SUM(AP10,AP9)</f>
        <v>169.71</v>
      </c>
      <c r="AQ11" s="12">
        <f>AP11/0.5*10</f>
        <v>3394.2000000000003</v>
      </c>
      <c r="AR11" s="13">
        <f>SUM(AR10,AR9)</f>
        <v>72.210000000000008</v>
      </c>
      <c r="AS11" s="12">
        <f>AR11/0.5*20</f>
        <v>2888.4000000000005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 t="shared" ref="L12:R12" si="1">(L7+L8+L11)/3</f>
        <v>36.283333333333331</v>
      </c>
      <c r="M12" s="275">
        <f>(M7+M8+M11)/3</f>
        <v>37.453333333333326</v>
      </c>
      <c r="N12" s="55">
        <f t="shared" si="1"/>
        <v>37.24</v>
      </c>
      <c r="O12" s="275">
        <f>(O7+O8+O11)/3</f>
        <v>38.416666666666664</v>
      </c>
      <c r="P12" s="275">
        <f t="shared" si="1"/>
        <v>36.883333333333333</v>
      </c>
      <c r="Q12" s="275">
        <f t="shared" si="1"/>
        <v>37.866666666666667</v>
      </c>
      <c r="R12" s="55">
        <f t="shared" si="1"/>
        <v>37.35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31"/>
      <c r="AK12" s="69">
        <f>AK11/AJ13</f>
        <v>0.90279999999999994</v>
      </c>
      <c r="AL12" s="31"/>
      <c r="AM12" s="69">
        <f>AM11/AL13</f>
        <v>0.68600000000000005</v>
      </c>
      <c r="AN12" s="31"/>
      <c r="AO12" s="69">
        <f>AO11/AN13</f>
        <v>0.53079999999999994</v>
      </c>
      <c r="AP12" s="31"/>
      <c r="AQ12" s="69">
        <f>AQ11/AP13</f>
        <v>1.1314000000000002</v>
      </c>
      <c r="AR12" s="31"/>
      <c r="AS12" s="69">
        <f>AS11/AR13</f>
        <v>0.72210000000000019</v>
      </c>
      <c r="AT12" s="2">
        <f>AVERAGE(AK12,AM12,AO12,AQ12,AS12)</f>
        <v>0.7946200000000001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29">
        <f>ABS(B11-B13)/B13</f>
        <v>0.32649999999999996</v>
      </c>
      <c r="C14" s="33"/>
      <c r="D14" s="30">
        <f>ABS(D11-D13)/D13</f>
        <v>6.6000000000000017E-2</v>
      </c>
      <c r="E14" s="34"/>
      <c r="F14" s="30">
        <f>ABS(F11-F13)/F13</f>
        <v>0.19075000000000006</v>
      </c>
      <c r="G14" s="34"/>
      <c r="H14" s="34"/>
      <c r="I14" s="34"/>
      <c r="J14" s="34"/>
      <c r="K14" s="38"/>
      <c r="L14" s="30">
        <f t="shared" ref="L14:R14" si="2">(L12-L13)/L13</f>
        <v>-9.2916666666666717E-2</v>
      </c>
      <c r="M14" s="30">
        <f t="shared" si="2"/>
        <v>-6.3666666666666843E-2</v>
      </c>
      <c r="N14" s="30">
        <f t="shared" si="2"/>
        <v>-6.899999999999995E-2</v>
      </c>
      <c r="O14" s="30">
        <f t="shared" si="2"/>
        <v>-3.9583333333333394E-2</v>
      </c>
      <c r="P14" s="30">
        <f t="shared" si="2"/>
        <v>-7.7916666666666676E-2</v>
      </c>
      <c r="Q14" s="30">
        <f t="shared" si="2"/>
        <v>-5.3333333333333323E-2</v>
      </c>
      <c r="R14" s="30">
        <f t="shared" si="2"/>
        <v>-6.6249999999999962E-2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72">
        <f>ABS(AK11-AJ13)/AJ13</f>
        <v>9.720000000000005E-2</v>
      </c>
      <c r="AK14" s="61"/>
      <c r="AL14" s="100">
        <f>ABS(AM11-AL13)/AL13</f>
        <v>0.314</v>
      </c>
      <c r="AM14" s="62"/>
      <c r="AN14" s="72">
        <f>ABS(AO11-AN13)/AN13</f>
        <v>0.46920000000000006</v>
      </c>
      <c r="AO14" s="62"/>
      <c r="AP14" s="72">
        <f>ABS(AQ11-AP13)/AP13</f>
        <v>0.1314000000000001</v>
      </c>
      <c r="AQ14" s="62"/>
      <c r="AR14" s="100">
        <f>ABS(AS11-AR13)/AR13</f>
        <v>0.27789999999999987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0.80187936584465025</v>
      </c>
      <c r="X15" s="71"/>
      <c r="Y15" s="30">
        <f>AVERAGE(Z8,Z19)</f>
        <v>0.87885524056170317</v>
      </c>
      <c r="Z15" s="71"/>
      <c r="AA15" s="30">
        <f>AVERAGE(AB8,AB19)</f>
        <v>0.81222019983317129</v>
      </c>
      <c r="AB15" s="71"/>
      <c r="AC15" s="30">
        <f>AVERAGE(AD8,AD19)</f>
        <v>0.83971749706870313</v>
      </c>
      <c r="AD15" s="71"/>
      <c r="AE15" s="30">
        <f>AVERAGE(AF8,AF19)</f>
        <v>0.85542379310001637</v>
      </c>
      <c r="AF15" s="16"/>
      <c r="AG15" s="16"/>
      <c r="AH15" s="16"/>
      <c r="AI15" s="68" t="s">
        <v>129</v>
      </c>
      <c r="AJ15" s="103">
        <f>AVERAGE(AK11,AK22)</f>
        <v>327.60000000000002</v>
      </c>
      <c r="AK15" s="71"/>
      <c r="AL15" s="103">
        <f>AVERAGE(AM11,AM22)</f>
        <v>619.1</v>
      </c>
      <c r="AM15" s="71"/>
      <c r="AN15" s="103">
        <f>AVERAGE(AO22,AO11)</f>
        <v>924.5</v>
      </c>
      <c r="AO15" s="71"/>
      <c r="AP15" s="103">
        <f>AVERAGE(AQ11,AQ22)</f>
        <v>2772.5</v>
      </c>
      <c r="AQ15" s="71"/>
      <c r="AR15" s="103">
        <f>AVERAGE(AS11,AS22)</f>
        <v>2642.8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 t="s">
        <v>8</v>
      </c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>
        <v>2.06</v>
      </c>
      <c r="C18" s="29">
        <f>B18/AVERAGE($Q7,$P7)</f>
        <v>5.6353440021884832E-2</v>
      </c>
      <c r="D18" s="12">
        <v>0.92</v>
      </c>
      <c r="E18" s="29">
        <f>D18/AVERAGE($Q7,$P7)</f>
        <v>2.516755573792915E-2</v>
      </c>
      <c r="F18" s="12">
        <v>1.19</v>
      </c>
      <c r="G18" s="29">
        <f>F18/AVERAGE($Q7,$P7)</f>
        <v>3.2553686226234439E-2</v>
      </c>
      <c r="H18" s="33"/>
      <c r="I18" s="274">
        <f>AVERAGE(D18,F18)</f>
        <v>1.0549999999999999</v>
      </c>
      <c r="J18" s="30">
        <f>STDEV(D18,F18)/I18</f>
        <v>0.18096571651219778</v>
      </c>
      <c r="K18" s="1"/>
      <c r="L18" s="58"/>
      <c r="M18" s="58"/>
      <c r="N18" s="58"/>
      <c r="O18" s="58"/>
      <c r="P18" s="58"/>
      <c r="Q18" s="1"/>
      <c r="S18" s="38"/>
      <c r="T18" s="38"/>
      <c r="U18" s="38"/>
      <c r="V18" s="16"/>
      <c r="W18" s="12">
        <v>0.89</v>
      </c>
      <c r="X18" s="29">
        <f>W18/AVERAGE($Q7,$P7)</f>
        <v>2.4346874572561895E-2</v>
      </c>
      <c r="Y18" s="12">
        <v>0.98</v>
      </c>
      <c r="Z18" s="29">
        <f>Y18/AVERAGE($Q7,$P7)</f>
        <v>2.6808918068663656E-2</v>
      </c>
      <c r="AA18" s="12">
        <v>0.92</v>
      </c>
      <c r="AB18" s="29">
        <f>AA18/AVERAGE($Q7,$P7)</f>
        <v>2.516755573792915E-2</v>
      </c>
      <c r="AC18" s="12">
        <v>0.96</v>
      </c>
      <c r="AD18" s="29">
        <f>AC18/AVERAGE($Q7,$P7)</f>
        <v>2.6261797291752154E-2</v>
      </c>
      <c r="AE18" s="12">
        <v>1.0900000000000001</v>
      </c>
      <c r="AF18" s="29">
        <f>AE18/AVERAGE($Q7,$P7)</f>
        <v>2.9818082341676929E-2</v>
      </c>
      <c r="AG18" s="16"/>
      <c r="AH18" s="38"/>
      <c r="AI18" s="20"/>
      <c r="AJ18" s="12" t="s">
        <v>158</v>
      </c>
      <c r="AK18" s="12"/>
      <c r="AL18" s="12" t="s">
        <v>158</v>
      </c>
      <c r="AM18" s="12"/>
      <c r="AN18" s="12" t="s">
        <v>159</v>
      </c>
      <c r="AO18" s="12"/>
      <c r="AP18" s="12" t="s">
        <v>159</v>
      </c>
      <c r="AQ18" s="12"/>
      <c r="AR18" s="12" t="s">
        <v>159</v>
      </c>
      <c r="AS18" s="12"/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21.21</v>
      </c>
      <c r="C19" s="29">
        <f>B19/AVERAGE($Q8,$P8)</f>
        <v>0.59080779944289685</v>
      </c>
      <c r="D19" s="12">
        <v>32.270000000000003</v>
      </c>
      <c r="E19" s="30">
        <f>D19/AVERAGE($Q8,$P8)</f>
        <v>0.89888579387186629</v>
      </c>
      <c r="F19" s="12">
        <v>31.78</v>
      </c>
      <c r="G19" s="30">
        <f>F19/AVERAGE($Q8,$P8)</f>
        <v>0.88523676880222835</v>
      </c>
      <c r="H19" s="34"/>
      <c r="I19" s="274">
        <f>AVERAGE(D19,F19)</f>
        <v>32.025000000000006</v>
      </c>
      <c r="J19" s="30">
        <f>STDEV(D19,F19)/I19</f>
        <v>1.0819120149302407E-2</v>
      </c>
      <c r="K19" s="11"/>
      <c r="L19" s="58"/>
      <c r="M19" s="58"/>
      <c r="N19" s="58"/>
      <c r="O19" s="58"/>
      <c r="P19" s="58"/>
      <c r="S19" s="38"/>
      <c r="T19" s="38"/>
      <c r="U19" s="38"/>
      <c r="V19" s="16"/>
      <c r="W19" s="12">
        <v>28.53</v>
      </c>
      <c r="X19" s="30">
        <f>W19/AVERAGE($Q8,$P8)</f>
        <v>0.79470752089136476</v>
      </c>
      <c r="Y19" s="12">
        <v>30.95</v>
      </c>
      <c r="Z19" s="30">
        <f>Y19/AVERAGE($Q8,$P8)</f>
        <v>0.8621169916434539</v>
      </c>
      <c r="AA19" s="12">
        <v>29.51</v>
      </c>
      <c r="AB19" s="30">
        <f>AA19/AVERAGE($Q8,$P8)</f>
        <v>0.82200557103064054</v>
      </c>
      <c r="AC19" s="12">
        <v>28.9</v>
      </c>
      <c r="AD19" s="30">
        <f>AC19/AVERAGE($Q8,$P8)</f>
        <v>0.80501392757660151</v>
      </c>
      <c r="AE19" s="12">
        <v>32.46</v>
      </c>
      <c r="AF19" s="30">
        <f>AE19/AVERAGE($Q8,$P8)</f>
        <v>0.90417827298050124</v>
      </c>
      <c r="AG19" s="16"/>
      <c r="AH19" s="23"/>
      <c r="AI19" s="20"/>
      <c r="AJ19" s="12" t="s">
        <v>158</v>
      </c>
      <c r="AK19" s="12"/>
      <c r="AL19" s="12" t="s">
        <v>158</v>
      </c>
      <c r="AM19" s="12"/>
      <c r="AN19" s="12" t="s">
        <v>159</v>
      </c>
      <c r="AO19" s="12"/>
      <c r="AP19" s="12" t="s">
        <v>159</v>
      </c>
      <c r="AQ19" s="12"/>
      <c r="AR19" s="12" t="s">
        <v>159</v>
      </c>
      <c r="AS19" s="12"/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7.83</v>
      </c>
      <c r="C20" s="29">
        <f>B20/AVERAGE($Q9,$P9)</f>
        <v>0.64710743801652892</v>
      </c>
      <c r="D20" s="12">
        <v>9.83</v>
      </c>
      <c r="E20" s="30">
        <f>D20/AVERAGE($Q9,$P9)</f>
        <v>0.81239669421487604</v>
      </c>
      <c r="F20" s="12">
        <v>14.09</v>
      </c>
      <c r="G20" s="30">
        <f>F20/AVERAGE($Q9,$P9)</f>
        <v>1.1644628099173553</v>
      </c>
      <c r="H20" s="34"/>
      <c r="I20" s="12">
        <f>AVERAGE(D20,F20)</f>
        <v>11.96</v>
      </c>
      <c r="J20" s="30">
        <f>STDEV(D20,F20)/I20</f>
        <v>0.25186244881728126</v>
      </c>
      <c r="L20" s="58"/>
      <c r="M20" s="58"/>
      <c r="N20" s="58"/>
      <c r="O20" s="58"/>
      <c r="P20" s="58"/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3.83</v>
      </c>
      <c r="AK20" s="12">
        <f>AJ20/0.5*10</f>
        <v>76.599999999999994</v>
      </c>
      <c r="AL20" s="12">
        <v>9.64</v>
      </c>
      <c r="AM20" s="12">
        <f>AL20/0.5*10</f>
        <v>192.8</v>
      </c>
      <c r="AN20" s="12">
        <v>15.71</v>
      </c>
      <c r="AO20" s="12">
        <f>AN20/0.5*10</f>
        <v>314.20000000000005</v>
      </c>
      <c r="AP20" s="12">
        <v>36.630000000000003</v>
      </c>
      <c r="AQ20" s="12">
        <f>AP20/0.5*10</f>
        <v>732.6</v>
      </c>
      <c r="AR20" s="12">
        <v>24.64</v>
      </c>
      <c r="AS20" s="12">
        <f>AR20/0.5*20</f>
        <v>985.6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16.46</v>
      </c>
      <c r="C21" s="29">
        <f>B21/AVERAGE($Q10,$P10)</f>
        <v>0.59702575262966995</v>
      </c>
      <c r="D21" s="12">
        <v>25.86</v>
      </c>
      <c r="E21" s="30">
        <f>D21/AVERAGE($Q10,$P10)</f>
        <v>0.93797606093579977</v>
      </c>
      <c r="F21" s="12">
        <v>28.21</v>
      </c>
      <c r="G21" s="30">
        <f>F21/AVERAGE($Q10,$P10)</f>
        <v>1.0232136380123322</v>
      </c>
      <c r="H21" s="34"/>
      <c r="I21" s="274">
        <f>AVERAGE(D21,F21)</f>
        <v>27.035</v>
      </c>
      <c r="J21" s="30">
        <f>STDEV(D21,F21)/I21</f>
        <v>6.1464802507430659E-2</v>
      </c>
      <c r="L21" s="58"/>
      <c r="M21" s="58"/>
      <c r="N21" s="58"/>
      <c r="O21" s="58"/>
      <c r="P21" s="58"/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6.36</v>
      </c>
      <c r="AK21" s="12">
        <f>AJ21/0.5*10</f>
        <v>127.2</v>
      </c>
      <c r="AL21" s="12">
        <v>17.97</v>
      </c>
      <c r="AM21" s="12">
        <f>AL21/0.5*10</f>
        <v>359.4</v>
      </c>
      <c r="AN21" s="12">
        <v>23.66</v>
      </c>
      <c r="AO21" s="12">
        <f>AN21/0.5*10</f>
        <v>473.2</v>
      </c>
      <c r="AP21" s="12">
        <v>70.91</v>
      </c>
      <c r="AQ21" s="12">
        <f>AP21/0.5*10</f>
        <v>1418.1999999999998</v>
      </c>
      <c r="AR21" s="12">
        <v>35.29</v>
      </c>
      <c r="AS21" s="12">
        <f>AR21/0.5*20</f>
        <v>1411.6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13">
        <f>B20+B21</f>
        <v>24.29</v>
      </c>
      <c r="C22" s="29">
        <f>B22/AVERAGE($Q11,$P11)</f>
        <v>0.61230148726997724</v>
      </c>
      <c r="D22" s="52">
        <f>SUM(D$10+D$9)</f>
        <v>37.36</v>
      </c>
      <c r="E22" s="30">
        <f>D22/AVERAGE($Q11,$P11)</f>
        <v>0.94176959919334502</v>
      </c>
      <c r="F22" s="13">
        <f>F20+F21</f>
        <v>42.3</v>
      </c>
      <c r="G22" s="30">
        <f>F22/AVERAGE($Q11,$P11)</f>
        <v>1.0662969498361481</v>
      </c>
      <c r="H22" s="34"/>
      <c r="I22" s="12">
        <f>AVERAGE(D22,F22)</f>
        <v>39.83</v>
      </c>
      <c r="J22" s="30">
        <f>STDEV(D22,F22)/I22</f>
        <v>8.7700414237046026E-2</v>
      </c>
      <c r="L22" s="58"/>
      <c r="M22" s="58"/>
      <c r="N22" s="58"/>
      <c r="O22" s="58"/>
      <c r="P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3">
        <f>SUM(AJ21,AJ20)</f>
        <v>10.190000000000001</v>
      </c>
      <c r="AK22">
        <f>AJ22/0.5*10</f>
        <v>203.8</v>
      </c>
      <c r="AL22" s="13">
        <f>SUM(AL21,AL20)</f>
        <v>27.61</v>
      </c>
      <c r="AM22" s="12">
        <f>AL22/0.5*10</f>
        <v>552.20000000000005</v>
      </c>
      <c r="AN22" s="13">
        <f>SUM(AN21,AN20)</f>
        <v>39.370000000000005</v>
      </c>
      <c r="AO22" s="12">
        <f>AN22/0.5*10</f>
        <v>787.40000000000009</v>
      </c>
      <c r="AP22" s="13">
        <f>SUM(AP21,AP20)</f>
        <v>107.53999999999999</v>
      </c>
      <c r="AQ22" s="12">
        <f>AP22/0.5*10</f>
        <v>2150.7999999999997</v>
      </c>
      <c r="AR22" s="13">
        <f>SUM(AR21,AR20)</f>
        <v>59.93</v>
      </c>
      <c r="AS22" s="12">
        <f>AR22/0.5*20</f>
        <v>2397.1999999999998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69">
        <f>AK22/AJ24</f>
        <v>0.40760000000000002</v>
      </c>
      <c r="AL23" s="31"/>
      <c r="AM23" s="69">
        <f>AM22/AL24</f>
        <v>0.55220000000000002</v>
      </c>
      <c r="AN23" s="31"/>
      <c r="AO23" s="69">
        <f>AO22/AN24</f>
        <v>0.39370000000000005</v>
      </c>
      <c r="AP23" s="31"/>
      <c r="AQ23" s="69">
        <f>AQ22/AP24</f>
        <v>0.7169333333333332</v>
      </c>
      <c r="AR23" s="31"/>
      <c r="AS23" s="69">
        <f>AS22/AR24</f>
        <v>0.59929999999999994</v>
      </c>
      <c r="AT23" s="2">
        <f>AVERAGE(AK23,AM23,AO23,AQ23,AS23)</f>
        <v>0.53394666666666657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29">
        <f>ABS(B22-B24)/B24</f>
        <v>0.39275000000000004</v>
      </c>
      <c r="C25" s="33"/>
      <c r="D25" s="30">
        <f>ABS(D22-D24)/D24</f>
        <v>6.6000000000000017E-2</v>
      </c>
      <c r="E25" s="34"/>
      <c r="F25" s="30">
        <f>ABS(F22-F24)/F24</f>
        <v>5.7499999999999926E-2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29">
        <f>ABS(AK22-AJ24)/AJ24</f>
        <v>0.59239999999999993</v>
      </c>
      <c r="AK25" s="23"/>
      <c r="AL25" s="29">
        <f>ABS(AM22-AL24)/AL24</f>
        <v>0.44779999999999998</v>
      </c>
      <c r="AM25" s="38"/>
      <c r="AN25" s="29">
        <f>ABS(AO22-AN24)/AN24</f>
        <v>0.60629999999999995</v>
      </c>
      <c r="AO25" s="38"/>
      <c r="AP25" s="29">
        <f>ABS(AQ22-AP24)/AP24</f>
        <v>0.28306666666666674</v>
      </c>
      <c r="AQ25" s="38"/>
      <c r="AR25" s="29">
        <f>ABS(AS22-AR24)/AR24</f>
        <v>0.40070000000000006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 t="s">
        <v>162</v>
      </c>
      <c r="H26" s="48"/>
      <c r="I26" s="48"/>
      <c r="J26" s="48"/>
      <c r="T26" s="35"/>
      <c r="AX26" s="35"/>
      <c r="AY26" s="35"/>
      <c r="AZ26" s="35"/>
      <c r="BA26" s="35"/>
      <c r="BB26" s="35"/>
      <c r="BC26" s="35"/>
    </row>
    <row r="28" spans="1:132" x14ac:dyDescent="0.25">
      <c r="A28" t="s">
        <v>26</v>
      </c>
    </row>
    <row r="29" spans="1:132" x14ac:dyDescent="0.25">
      <c r="A29" t="s">
        <v>3</v>
      </c>
    </row>
    <row r="30" spans="1:132" x14ac:dyDescent="0.25">
      <c r="A30" t="str">
        <f>"-OR-"</f>
        <v>-OR-</v>
      </c>
    </row>
    <row r="31" spans="1:132" x14ac:dyDescent="0.25">
      <c r="A31" t="s">
        <v>24</v>
      </c>
    </row>
    <row r="32" spans="1:132" x14ac:dyDescent="0.25">
      <c r="A32" t="s">
        <v>25</v>
      </c>
    </row>
    <row r="34" spans="1:23" x14ac:dyDescent="0.25">
      <c r="A34" t="s">
        <v>23</v>
      </c>
    </row>
    <row r="35" spans="1:23" x14ac:dyDescent="0.25">
      <c r="A35" t="s">
        <v>18</v>
      </c>
    </row>
    <row r="37" spans="1:23" x14ac:dyDescent="0.25">
      <c r="A37" t="s">
        <v>19</v>
      </c>
    </row>
    <row r="38" spans="1:23" x14ac:dyDescent="0.25">
      <c r="A38" t="s">
        <v>3</v>
      </c>
    </row>
    <row r="40" spans="1:23" x14ac:dyDescent="0.25">
      <c r="A40" t="s">
        <v>14</v>
      </c>
    </row>
    <row r="41" spans="1:23" x14ac:dyDescent="0.25">
      <c r="A41" t="s">
        <v>4</v>
      </c>
    </row>
    <row r="43" spans="1:23" x14ac:dyDescent="0.25">
      <c r="A43" t="s">
        <v>27</v>
      </c>
    </row>
    <row r="44" spans="1:23" x14ac:dyDescent="0.25">
      <c r="A44" t="s">
        <v>28</v>
      </c>
    </row>
    <row r="45" spans="1:23" x14ac:dyDescent="0.25">
      <c r="A45" t="s">
        <v>29</v>
      </c>
    </row>
    <row r="46" spans="1:2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</sheetData>
  <pageMargins left="0.7" right="0.7" top="0.75" bottom="0.75" header="0.3" footer="0.3"/>
  <pageSetup orientation="portrait" r:id="rId1"/>
  <ignoredErrors>
    <ignoredError sqref="AK11:AQ11 AL22:AQ22 AK22 D11:E11 D22 F22 F11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39997558519241921"/>
  </sheetPr>
  <dimension ref="A1:T13"/>
  <sheetViews>
    <sheetView zoomScale="60" zoomScaleNormal="60" workbookViewId="0">
      <selection activeCell="G4" sqref="G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0.76</v>
      </c>
      <c r="C4" s="119">
        <v>0.88</v>
      </c>
      <c r="D4" s="119">
        <v>0.79</v>
      </c>
      <c r="E4" s="120">
        <v>79</v>
      </c>
      <c r="F4" s="123">
        <v>0.94</v>
      </c>
      <c r="G4" s="123">
        <v>0.88</v>
      </c>
      <c r="H4" s="122">
        <v>0.93</v>
      </c>
      <c r="I4" s="123">
        <v>0.84</v>
      </c>
      <c r="J4" s="126">
        <v>0.68</v>
      </c>
      <c r="K4" s="126">
        <v>0.84</v>
      </c>
      <c r="L4" s="126">
        <v>0.83</v>
      </c>
      <c r="M4" s="126">
        <v>0.89</v>
      </c>
      <c r="N4" s="126">
        <v>0.88</v>
      </c>
      <c r="O4" s="126">
        <v>0.78</v>
      </c>
      <c r="P4" s="126">
        <v>0.77</v>
      </c>
      <c r="Q4" s="126">
        <v>0.78</v>
      </c>
      <c r="R4" s="126">
        <v>0.78</v>
      </c>
      <c r="S4" s="126">
        <v>0.74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65.25" customHeight="1" x14ac:dyDescent="0.25">
      <c r="A10" s="116" t="s">
        <v>96</v>
      </c>
      <c r="B10" s="97" t="s">
        <v>355</v>
      </c>
      <c r="C10" s="253"/>
      <c r="D10" s="76"/>
      <c r="E10" s="76"/>
      <c r="F10" s="74"/>
      <c r="G10" s="74"/>
      <c r="H10" s="74"/>
      <c r="I10" s="74"/>
      <c r="J10" s="75" t="s">
        <v>134</v>
      </c>
      <c r="K10" s="12">
        <v>260.59999999999997</v>
      </c>
      <c r="L10" s="12">
        <v>253.6</v>
      </c>
      <c r="M10" s="12">
        <v>440.70000000000005</v>
      </c>
      <c r="N10" s="71">
        <v>1514.6999999999998</v>
      </c>
      <c r="O10" s="12">
        <v>2272</v>
      </c>
      <c r="P10" s="16"/>
      <c r="R10" s="16"/>
    </row>
    <row r="11" spans="1:20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60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 tint="0.39997558519241921"/>
  </sheetPr>
  <dimension ref="A2:GU50"/>
  <sheetViews>
    <sheetView zoomScale="70" zoomScaleNormal="70" zoomScaleSheetLayoutView="40" workbookViewId="0">
      <pane xSplit="1" topLeftCell="Z1" activePane="topRight" state="frozen"/>
      <selection pane="topRight" activeCell="R7" sqref="R7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7.5703125" customWidth="1"/>
    <col min="13" max="17" width="10.710937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180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s="102">
        <v>43827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0.97</v>
      </c>
      <c r="C7" s="29">
        <f>B7/AVERAGE($M7,$N7)</f>
        <v>2.8774844259863541E-2</v>
      </c>
      <c r="D7" s="12">
        <v>1.06</v>
      </c>
      <c r="E7" s="29">
        <f>D7/AVERAGE($M7,$N7)</f>
        <v>3.1444675170572534E-2</v>
      </c>
      <c r="F7" s="12">
        <v>1.08</v>
      </c>
      <c r="G7" s="29">
        <f>F7/AVERAGE($M7,$N7)</f>
        <v>3.203797092850786E-2</v>
      </c>
      <c r="H7" s="33"/>
      <c r="I7" s="274">
        <f>AVERAGE(B7,D7,F7)</f>
        <v>1.0366666666666668</v>
      </c>
      <c r="J7" s="29">
        <f>STDEV(B7,D7,F7)/I7</f>
        <v>5.6522173090826237E-2</v>
      </c>
      <c r="K7" s="19"/>
      <c r="L7" s="12">
        <v>32.46</v>
      </c>
      <c r="M7" s="12">
        <v>32.71</v>
      </c>
      <c r="N7" s="12">
        <v>34.71</v>
      </c>
      <c r="O7" s="12">
        <v>41.14</v>
      </c>
      <c r="P7" s="12">
        <v>41.85</v>
      </c>
      <c r="Q7" s="12">
        <v>43.38</v>
      </c>
      <c r="R7" s="141">
        <f>AVERAGE(L7:Q7)</f>
        <v>37.708333333333329</v>
      </c>
      <c r="S7" s="54">
        <f>ABS(L7-O7)/AVERAGE(O7,L7)</f>
        <v>0.2358695652173913</v>
      </c>
      <c r="T7" s="38"/>
      <c r="U7" s="38"/>
      <c r="V7" s="16"/>
      <c r="W7" s="12">
        <v>1.1100000000000001</v>
      </c>
      <c r="X7" s="29">
        <f>W7/AVERAGE($M7,$N7)</f>
        <v>3.292791456541086E-2</v>
      </c>
      <c r="Y7" s="12">
        <v>0.99</v>
      </c>
      <c r="Z7" s="29">
        <f>Y7/AVERAGE($M7,$N7)</f>
        <v>2.9368140017798871E-2</v>
      </c>
      <c r="AA7" s="12">
        <v>1</v>
      </c>
      <c r="AB7" s="29">
        <f>AA7/AVERAGE($M7,$N7)</f>
        <v>2.9664787896766538E-2</v>
      </c>
      <c r="AC7" s="12">
        <v>1.29</v>
      </c>
      <c r="AD7" s="29">
        <f>AC7/AVERAGE($M7,$N7)</f>
        <v>3.8267576386828837E-2</v>
      </c>
      <c r="AE7" s="12">
        <v>0.97</v>
      </c>
      <c r="AF7" s="29">
        <f>AE7/AVERAGE($M7,$N7)</f>
        <v>2.8774844259863541E-2</v>
      </c>
      <c r="AG7" s="16"/>
      <c r="AH7" s="38"/>
      <c r="AI7" s="20"/>
      <c r="AJ7" s="12" t="s">
        <v>158</v>
      </c>
      <c r="AK7" s="29" t="e">
        <f>AJ7*10/AVERAGE($L7,$M7)</f>
        <v>#VALUE!</v>
      </c>
      <c r="AL7" s="12" t="s">
        <v>158</v>
      </c>
      <c r="AM7" s="29" t="e">
        <f>AL7*10/AVERAGE($L7,$M7)</f>
        <v>#VALUE!</v>
      </c>
      <c r="AN7" s="12" t="s">
        <v>158</v>
      </c>
      <c r="AO7" s="29" t="e">
        <f>AN7*10/AVERAGE($L7,$M7)</f>
        <v>#VALUE!</v>
      </c>
      <c r="AP7" s="12" t="s">
        <v>158</v>
      </c>
      <c r="AQ7" s="29" t="e">
        <f>AP7*10/AVERAGE($L7,$M7)</f>
        <v>#VALUE!</v>
      </c>
      <c r="AR7" s="12" t="s">
        <v>158</v>
      </c>
      <c r="AS7" s="29" t="e">
        <f>AR7*20/AVERAGE($L7,$M7)</f>
        <v>#VALUE!</v>
      </c>
      <c r="AT7" s="43"/>
      <c r="AU7" s="12">
        <v>1.04</v>
      </c>
      <c r="AV7" s="29">
        <f>AU7/AVERAGE($L7,$M7)</f>
        <v>3.1916526008899798E-2</v>
      </c>
      <c r="AW7" s="12">
        <v>1.07</v>
      </c>
      <c r="AX7" s="29">
        <f>AW7/AVERAGE($L7,$M7)</f>
        <v>3.2837195028387299E-2</v>
      </c>
      <c r="AY7" s="12">
        <v>1.05</v>
      </c>
      <c r="AZ7" s="29">
        <f>AY7/AVERAGE($L7,$M7)</f>
        <v>3.2223415682062301E-2</v>
      </c>
      <c r="BA7" s="12">
        <v>1.02</v>
      </c>
      <c r="BB7" s="29">
        <f>BA7/AVERAGE($L7,$M7)</f>
        <v>3.1302746662574807E-2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24.03</v>
      </c>
      <c r="C8" s="30">
        <f>B8/AVERAGE($M8,$N8)</f>
        <v>0.75768563771086239</v>
      </c>
      <c r="D8" s="12">
        <v>27.89</v>
      </c>
      <c r="E8" s="30">
        <f>D8/AVERAGE($M8,$N8)</f>
        <v>0.87939460822954441</v>
      </c>
      <c r="F8" s="12">
        <v>25.05</v>
      </c>
      <c r="G8" s="30">
        <f>F8/AVERAGE($M8,$N8)</f>
        <v>0.78984707551631728</v>
      </c>
      <c r="H8" s="34"/>
      <c r="I8" s="274">
        <f>AVERAGE(B8,D8,F8)</f>
        <v>25.656666666666666</v>
      </c>
      <c r="J8" s="30">
        <f>STDEV(B8,D8,F8)/I8</f>
        <v>7.7961542928042471E-2</v>
      </c>
      <c r="K8" s="19"/>
      <c r="L8" s="12">
        <v>31.92</v>
      </c>
      <c r="M8" s="12">
        <v>30.35</v>
      </c>
      <c r="N8" s="12">
        <v>33.08</v>
      </c>
      <c r="O8" s="12">
        <v>37.78</v>
      </c>
      <c r="P8" s="12">
        <v>39.619999999999997</v>
      </c>
      <c r="Q8" s="12">
        <v>39.79</v>
      </c>
      <c r="R8" s="141">
        <f>AVERAGE(L8:Q8)</f>
        <v>35.423333333333332</v>
      </c>
      <c r="S8" s="54">
        <f>ABS(L8-O8)/AVERAGE(O8,L8)</f>
        <v>0.16814921090387372</v>
      </c>
      <c r="T8" s="38"/>
      <c r="U8" s="38"/>
      <c r="V8" s="16"/>
      <c r="W8" s="12">
        <v>21.54</v>
      </c>
      <c r="X8" s="29">
        <f>W8/AVERAGE($M8,$N8)</f>
        <v>0.67917389247989912</v>
      </c>
      <c r="Y8" s="12">
        <v>26.54</v>
      </c>
      <c r="Z8" s="30">
        <f>Y8/AVERAGE($M8,$N8)</f>
        <v>0.83682799936938357</v>
      </c>
      <c r="AA8" s="12">
        <v>26.29</v>
      </c>
      <c r="AB8" s="30">
        <f>AA8/AVERAGE($M8,$N8)</f>
        <v>0.82894529402490935</v>
      </c>
      <c r="AC8" s="12">
        <v>28.21</v>
      </c>
      <c r="AD8" s="30">
        <f>AC8/AVERAGE($M8,$N8)</f>
        <v>0.88948447107047146</v>
      </c>
      <c r="AE8" s="12">
        <v>28.03</v>
      </c>
      <c r="AF8" s="30">
        <f>AE8/AVERAGE($M8,$N8)</f>
        <v>0.88380892322244997</v>
      </c>
      <c r="AG8" s="16"/>
      <c r="AH8" s="23"/>
      <c r="AI8" s="20"/>
      <c r="AJ8" s="12" t="s">
        <v>158</v>
      </c>
      <c r="AK8" s="30" t="e">
        <f>AJ8*10/AVERAGE($L8,$M8)</f>
        <v>#VALUE!</v>
      </c>
      <c r="AL8" s="12" t="s">
        <v>158</v>
      </c>
      <c r="AM8" s="30" t="e">
        <f>AL8*10/AVERAGE($L8,$M8)</f>
        <v>#VALUE!</v>
      </c>
      <c r="AN8" s="12" t="s">
        <v>158</v>
      </c>
      <c r="AO8" s="30" t="e">
        <f>AN8*10/AVERAGE($L8,$M8)</f>
        <v>#VALUE!</v>
      </c>
      <c r="AP8" s="12" t="s">
        <v>158</v>
      </c>
      <c r="AQ8" s="30" t="e">
        <f>AP8*10/AVERAGE($L8,$M8)</f>
        <v>#VALUE!</v>
      </c>
      <c r="AR8" s="12" t="s">
        <v>158</v>
      </c>
      <c r="AS8" s="30" t="e">
        <f>AR8*20/AVERAGE($L8,$M8)</f>
        <v>#VALUE!</v>
      </c>
      <c r="AT8" s="43"/>
      <c r="AU8" s="12">
        <v>28.99</v>
      </c>
      <c r="AV8" s="30">
        <f>AU8/AVERAGE($L8,$M8)</f>
        <v>0.93110647181628381</v>
      </c>
      <c r="AW8" s="12">
        <v>29.44</v>
      </c>
      <c r="AX8" s="30">
        <f>AW8/AVERAGE($L8,$M8)</f>
        <v>0.94555965954713339</v>
      </c>
      <c r="AY8" s="12">
        <v>30.13</v>
      </c>
      <c r="AZ8" s="30">
        <f>AY8/AVERAGE($L8,$M8)</f>
        <v>0.96772121406776934</v>
      </c>
      <c r="BA8" s="12">
        <v>32.619999999999997</v>
      </c>
      <c r="BB8" s="30">
        <f>BA8/AVERAGE($O8,$P8)</f>
        <v>0.84289405684754504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5.99</v>
      </c>
      <c r="C9" s="30">
        <f>B9/AVERAGE($M9,$N9)</f>
        <v>0.70263929618768328</v>
      </c>
      <c r="D9" s="12">
        <v>8.59</v>
      </c>
      <c r="E9" s="30">
        <f>D9/AVERAGE($M9,$N9)</f>
        <v>1.007624633431085</v>
      </c>
      <c r="F9" s="12">
        <v>5.99</v>
      </c>
      <c r="G9" s="30">
        <f>F9/AVERAGE($M9,$N9)</f>
        <v>0.70263929618768328</v>
      </c>
      <c r="H9" s="34"/>
      <c r="I9" s="274">
        <f>AVERAGE(B9,D9,F9)</f>
        <v>6.8566666666666665</v>
      </c>
      <c r="J9" s="30">
        <f>STDEV(B9,D9,F9)/I9</f>
        <v>0.21892718034414574</v>
      </c>
      <c r="K9" s="16"/>
      <c r="L9" s="12">
        <v>8.08</v>
      </c>
      <c r="M9" s="12">
        <v>8.16</v>
      </c>
      <c r="N9" s="12">
        <v>8.89</v>
      </c>
      <c r="O9" s="12">
        <v>10.95</v>
      </c>
      <c r="P9" s="12">
        <v>10.32</v>
      </c>
      <c r="Q9" s="12">
        <v>10.69</v>
      </c>
      <c r="R9" s="141">
        <f>AVERAGE(L9:Q9)</f>
        <v>9.5149999999999988</v>
      </c>
      <c r="S9" s="54">
        <f>ABS(L9-O9)/AVERAGE(O9,L9)</f>
        <v>0.30162900683131888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6.49</v>
      </c>
      <c r="AK9" s="12">
        <f>AJ9/0.5*10</f>
        <v>129.80000000000001</v>
      </c>
      <c r="AL9" s="12">
        <v>7.05</v>
      </c>
      <c r="AM9" s="12">
        <f>AL9/0.5*10</f>
        <v>141</v>
      </c>
      <c r="AN9" s="12">
        <v>12.23</v>
      </c>
      <c r="AO9" s="12">
        <f>AN9/0.5*10</f>
        <v>244.60000000000002</v>
      </c>
      <c r="AP9" s="12">
        <v>28.11</v>
      </c>
      <c r="AQ9" s="12">
        <f>AP9/0.5*10</f>
        <v>562.20000000000005</v>
      </c>
      <c r="AR9" s="12">
        <v>19.190000000000001</v>
      </c>
      <c r="AS9" s="12">
        <f>AR9/0.5*20</f>
        <v>767.6</v>
      </c>
      <c r="AT9" s="45"/>
      <c r="AU9" s="12" t="s">
        <v>158</v>
      </c>
      <c r="AV9" s="12"/>
      <c r="AW9" s="12" t="s">
        <v>158</v>
      </c>
      <c r="AX9" s="12"/>
      <c r="AY9" s="12" t="s">
        <v>158</v>
      </c>
      <c r="AZ9" s="12"/>
      <c r="BA9" s="12" t="s">
        <v>159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10.94</v>
      </c>
      <c r="C10" s="29">
        <f>B10/AVERAGE($M10,$N10)</f>
        <v>0.58722490606548572</v>
      </c>
      <c r="D10" s="12">
        <v>16.059999999999999</v>
      </c>
      <c r="E10" s="30">
        <f>D10/AVERAGE($M10,$N10)</f>
        <v>0.86205045625335464</v>
      </c>
      <c r="F10" s="12">
        <v>10.57</v>
      </c>
      <c r="G10" s="30">
        <f>F10/AVERAGE($M10,$N10)</f>
        <v>0.56736446591519052</v>
      </c>
      <c r="H10" s="34"/>
      <c r="I10" s="274">
        <f>AVERAGE(B10,D10,F10)</f>
        <v>12.523333333333333</v>
      </c>
      <c r="J10" s="30">
        <f>STDEV(B10,D10,F10)/I10</f>
        <v>0.24501665321457575</v>
      </c>
      <c r="K10" s="16"/>
      <c r="L10" s="12">
        <v>16.97</v>
      </c>
      <c r="M10" s="12">
        <v>17.5</v>
      </c>
      <c r="N10" s="12">
        <v>19.760000000000002</v>
      </c>
      <c r="O10" s="12">
        <v>23.13</v>
      </c>
      <c r="P10" s="12">
        <v>23.98</v>
      </c>
      <c r="Q10" s="12">
        <v>22.6</v>
      </c>
      <c r="R10" s="141">
        <f>AVERAGE(L10:Q10)</f>
        <v>20.656666666666666</v>
      </c>
      <c r="S10" s="54">
        <f>ABS(L10-O10)/AVERAGE(O10,L10)</f>
        <v>0.3072319201995013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11.95</v>
      </c>
      <c r="AK10" s="12">
        <f>AJ10/0.5*10</f>
        <v>239</v>
      </c>
      <c r="AL10" s="12">
        <v>13.4</v>
      </c>
      <c r="AM10" s="12">
        <f>AL10/0.5*10</f>
        <v>268</v>
      </c>
      <c r="AN10" s="12">
        <v>25.48</v>
      </c>
      <c r="AO10" s="12">
        <f>AN10/0.5*10</f>
        <v>509.6</v>
      </c>
      <c r="AP10" s="12">
        <v>61.43</v>
      </c>
      <c r="AQ10" s="12">
        <f>AP10/0.5*10</f>
        <v>1228.5999999999999</v>
      </c>
      <c r="AR10" s="12">
        <v>41.73</v>
      </c>
      <c r="AS10" s="12">
        <f>AR10/0.5*20</f>
        <v>1669.1999999999998</v>
      </c>
      <c r="AT10" s="45"/>
      <c r="AU10" s="12" t="s">
        <v>158</v>
      </c>
      <c r="AV10" s="12"/>
      <c r="AW10" s="12" t="s">
        <v>158</v>
      </c>
      <c r="AX10" s="12"/>
      <c r="AY10" s="12" t="s">
        <v>158</v>
      </c>
      <c r="AZ10" s="12"/>
      <c r="BA10" s="12" t="s">
        <v>159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16.93</v>
      </c>
      <c r="C11" s="29">
        <f>B11/AVERAGE($M11,$N11)</f>
        <v>0.62345792671699496</v>
      </c>
      <c r="D11" s="52">
        <f>SUM(D$10+D$9)</f>
        <v>24.65</v>
      </c>
      <c r="E11" s="30">
        <f>D11/AVERAGE($M11,$N11)</f>
        <v>0.90775179524949356</v>
      </c>
      <c r="F11" s="52">
        <f>SUM(F$10+F$9)</f>
        <v>16.560000000000002</v>
      </c>
      <c r="G11" s="30">
        <f>F11/AVERAGE($M11,$N11)</f>
        <v>0.60983244338059295</v>
      </c>
      <c r="H11" s="34"/>
      <c r="I11" s="12">
        <f>AVERAGE(B11,D11)</f>
        <v>20.79</v>
      </c>
      <c r="J11" s="30">
        <f>STDEV(B11,D11,F11)/I11</f>
        <v>0.21970667768868635</v>
      </c>
      <c r="K11" s="19"/>
      <c r="L11" s="136">
        <f t="shared" ref="L11:Q11" si="0">SUM(L9,L10)</f>
        <v>25.049999999999997</v>
      </c>
      <c r="M11" s="52">
        <f t="shared" si="0"/>
        <v>25.66</v>
      </c>
      <c r="N11" s="52">
        <f t="shared" si="0"/>
        <v>28.650000000000002</v>
      </c>
      <c r="O11" s="52">
        <f t="shared" si="0"/>
        <v>34.08</v>
      </c>
      <c r="P11" s="52">
        <f t="shared" si="0"/>
        <v>34.299999999999997</v>
      </c>
      <c r="Q11" s="52">
        <f t="shared" si="0"/>
        <v>33.29</v>
      </c>
      <c r="R11" s="141">
        <f>AVERAGE(L11:Q11)</f>
        <v>30.171666666666667</v>
      </c>
      <c r="S11" s="54">
        <f>ABS(L11-O11)/AVERAGE(O11,L11)</f>
        <v>0.30542871638762054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2">
        <f>SUM(AJ9,AJ10)</f>
        <v>18.439999999999998</v>
      </c>
      <c r="AK11" s="12">
        <f>AJ11/0.5*10</f>
        <v>368.79999999999995</v>
      </c>
      <c r="AL11" s="12">
        <f>SUM(AL9,AL10)</f>
        <v>20.45</v>
      </c>
      <c r="AM11" s="12">
        <f>AL11/0.5*10</f>
        <v>409</v>
      </c>
      <c r="AN11" s="13">
        <f>SUM(AN9,AN10)</f>
        <v>37.71</v>
      </c>
      <c r="AO11" s="12">
        <f>AN11/0.5*10</f>
        <v>754.2</v>
      </c>
      <c r="AP11" s="13">
        <f>SUM(AP9,AP10)</f>
        <v>89.539999999999992</v>
      </c>
      <c r="AQ11" s="12">
        <f>AP11/0.5*10</f>
        <v>1790.7999999999997</v>
      </c>
      <c r="AR11" s="13">
        <f>SUM(AR9,AR10)</f>
        <v>60.92</v>
      </c>
      <c r="AS11" s="12">
        <f>AR11/0.5*20</f>
        <v>2436.8000000000002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55">
        <f t="shared" ref="L12:R12" si="1">(L7+L8+L11)/3</f>
        <v>29.81</v>
      </c>
      <c r="M12" s="275">
        <f t="shared" si="1"/>
        <v>29.573333333333334</v>
      </c>
      <c r="N12" s="275">
        <f t="shared" si="1"/>
        <v>32.146666666666668</v>
      </c>
      <c r="O12" s="275">
        <f t="shared" si="1"/>
        <v>37.666666666666664</v>
      </c>
      <c r="P12" s="55">
        <f t="shared" si="1"/>
        <v>38.589999999999996</v>
      </c>
      <c r="Q12" s="55">
        <f t="shared" si="1"/>
        <v>38.82</v>
      </c>
      <c r="R12" s="275">
        <f t="shared" si="1"/>
        <v>34.434444444444445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137"/>
      <c r="AK12" s="69">
        <f>AK11/AJ13</f>
        <v>0.73759999999999992</v>
      </c>
      <c r="AL12" s="31"/>
      <c r="AM12" s="69">
        <f>AM11/AL13</f>
        <v>0.40899999999999997</v>
      </c>
      <c r="AN12" s="31"/>
      <c r="AO12" s="69">
        <f>AO11/AN13</f>
        <v>0.37710000000000005</v>
      </c>
      <c r="AP12" s="31"/>
      <c r="AQ12" s="69">
        <f>AQ11/AP13</f>
        <v>0.5969333333333332</v>
      </c>
      <c r="AR12" s="31"/>
      <c r="AS12" s="69">
        <f>AS11/AR13</f>
        <v>0.60920000000000007</v>
      </c>
      <c r="AT12" s="2">
        <f>AVERAGE(AK12,AM12,AO12,AQ12,AS12)</f>
        <v>0.5459666666666666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98">
        <f>ABS(B11-B13)/B13</f>
        <v>0.57674999999999998</v>
      </c>
      <c r="C14" s="33"/>
      <c r="D14" s="98">
        <f>ABS(D11-D13)/D13</f>
        <v>0.38375000000000004</v>
      </c>
      <c r="E14" s="34"/>
      <c r="F14" s="98">
        <f>ABS(F11-F13)/F13</f>
        <v>0.58599999999999997</v>
      </c>
      <c r="G14" s="34"/>
      <c r="H14" s="34"/>
      <c r="I14" s="34"/>
      <c r="J14" s="34"/>
      <c r="K14" s="38"/>
      <c r="L14" s="30">
        <f t="shared" ref="L14:R14" si="2">(L12-L13)/L13</f>
        <v>-0.25475000000000003</v>
      </c>
      <c r="M14" s="30">
        <f t="shared" si="2"/>
        <v>-0.26066666666666666</v>
      </c>
      <c r="N14" s="30">
        <f t="shared" si="2"/>
        <v>-0.1963333333333333</v>
      </c>
      <c r="O14" s="30">
        <f t="shared" si="2"/>
        <v>-5.833333333333339E-2</v>
      </c>
      <c r="P14" s="30">
        <f t="shared" si="2"/>
        <v>-3.5250000000000094E-2</v>
      </c>
      <c r="Q14" s="30">
        <f t="shared" si="2"/>
        <v>-2.9499999999999992E-2</v>
      </c>
      <c r="R14" s="30">
        <f t="shared" si="2"/>
        <v>-0.13913888888888887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72">
        <f>ABS(AK11-AJ13)/AJ13</f>
        <v>0.26240000000000008</v>
      </c>
      <c r="AK14" s="61"/>
      <c r="AL14" s="100">
        <f>ABS(AM11-AL13)/AL13</f>
        <v>0.59099999999999997</v>
      </c>
      <c r="AM14" s="62"/>
      <c r="AN14" s="100">
        <f>ABS(AO11-AN13)/AN13</f>
        <v>0.62290000000000001</v>
      </c>
      <c r="AO14" s="62"/>
      <c r="AP14" s="100">
        <f>ABS(AQ11-AP13)/AP13</f>
        <v>0.40306666666666674</v>
      </c>
      <c r="AQ14" s="62"/>
      <c r="AR14" s="100">
        <f>ABS(AS11-AR13)/AR13</f>
        <v>0.39079999999999998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0.72958820552719295</v>
      </c>
      <c r="X15" s="71"/>
      <c r="Y15" s="30">
        <f>AVERAGE(Z8,Z19)</f>
        <v>0.80148917913312401</v>
      </c>
      <c r="Z15" s="71"/>
      <c r="AA15" s="30">
        <f>AVERAGE(AB8,AB19)</f>
        <v>0.80245904671022572</v>
      </c>
      <c r="AB15" s="71"/>
      <c r="AC15" s="30">
        <f>AVERAGE(AD8,AD19)</f>
        <v>0.83436570864945314</v>
      </c>
      <c r="AD15" s="71"/>
      <c r="AE15" s="30">
        <f>AVERAGE(AF8,AF19)</f>
        <v>0.81024598031164063</v>
      </c>
      <c r="AF15" s="16"/>
      <c r="AG15" s="16"/>
      <c r="AH15" s="16"/>
      <c r="AI15" s="68" t="s">
        <v>129</v>
      </c>
      <c r="AJ15" s="103">
        <f>AVERAGE(AK11,AK22)</f>
        <v>260.59999999999997</v>
      </c>
      <c r="AK15" s="71"/>
      <c r="AL15" s="103">
        <f>AVERAGE(AM11,AM22)</f>
        <v>253.6</v>
      </c>
      <c r="AM15" s="71"/>
      <c r="AN15" s="103">
        <f>AVERAGE(AO22,AO11)</f>
        <v>440.70000000000005</v>
      </c>
      <c r="AO15" s="71"/>
      <c r="AP15" s="103">
        <f>AVERAGE(AQ11,AQ22)</f>
        <v>1514.6999999999998</v>
      </c>
      <c r="AQ15" s="71"/>
      <c r="AR15" s="103">
        <f>AVERAGE(AS11,AS22)</f>
        <v>2272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t="s">
        <v>15</v>
      </c>
      <c r="M17" s="139" t="s">
        <v>181</v>
      </c>
      <c r="N17" s="139" t="s">
        <v>182</v>
      </c>
      <c r="O17" s="57"/>
      <c r="P17" s="57"/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>
        <v>1.01</v>
      </c>
      <c r="C18" s="29">
        <f>B18/AVERAGE($Q7,$P7)</f>
        <v>2.3700574914936056E-2</v>
      </c>
      <c r="D18" s="12">
        <v>1.1000000000000001</v>
      </c>
      <c r="E18" s="29">
        <f>D18/AVERAGE($Q7,$P7)</f>
        <v>2.5812507333098676E-2</v>
      </c>
      <c r="F18" s="12">
        <v>1.04</v>
      </c>
      <c r="G18" s="29">
        <f>F18/AVERAGE($Q7,$P7)</f>
        <v>2.4404552387656927E-2</v>
      </c>
      <c r="H18" s="33"/>
      <c r="I18" s="12">
        <f>AVERAGE(D18,F18)</f>
        <v>1.07</v>
      </c>
      <c r="J18" s="30">
        <f>STDEV(D18,F18)/I18</f>
        <v>3.9650847543170921E-2</v>
      </c>
      <c r="K18" s="1"/>
      <c r="L18" t="s">
        <v>5</v>
      </c>
      <c r="M18" s="12">
        <v>1.1499999999999999</v>
      </c>
      <c r="N18" s="12">
        <v>0.99</v>
      </c>
      <c r="O18" s="58"/>
      <c r="P18" s="58"/>
      <c r="Q18" s="1"/>
      <c r="S18" s="38"/>
      <c r="T18" s="38"/>
      <c r="U18" s="38"/>
      <c r="V18" s="16"/>
      <c r="W18" s="12">
        <v>1.1000000000000001</v>
      </c>
      <c r="X18" s="29">
        <f>W18/AVERAGE($Q7,$P7)</f>
        <v>2.5812507333098676E-2</v>
      </c>
      <c r="Y18" s="12">
        <v>1.03</v>
      </c>
      <c r="Z18" s="29">
        <f>Y18/AVERAGE($Q7,$P7)</f>
        <v>2.4169893230083304E-2</v>
      </c>
      <c r="AA18" s="12">
        <v>1.07</v>
      </c>
      <c r="AB18" s="29">
        <f>AA18/AVERAGE($Q7,$P7)</f>
        <v>2.5108529860377801E-2</v>
      </c>
      <c r="AC18" s="12">
        <v>0.95</v>
      </c>
      <c r="AD18" s="29">
        <f>AC18/AVERAGE($Q7,$P7)</f>
        <v>2.2292619969494307E-2</v>
      </c>
      <c r="AE18" s="12">
        <v>1.04</v>
      </c>
      <c r="AF18" s="29">
        <f>AE18/AVERAGE($Q7,$P7)</f>
        <v>2.4404552387656927E-2</v>
      </c>
      <c r="AG18" s="16"/>
      <c r="AH18" s="38"/>
      <c r="AI18" s="20"/>
      <c r="AJ18" s="12" t="s">
        <v>158</v>
      </c>
      <c r="AK18" s="29" t="e">
        <f>AJ18*10/AVERAGE($L$7,$M$7)</f>
        <v>#VALUE!</v>
      </c>
      <c r="AL18" s="12" t="s">
        <v>158</v>
      </c>
      <c r="AM18" s="29" t="e">
        <f>AL18*10/AVERAGE($L$7,$M$7)</f>
        <v>#VALUE!</v>
      </c>
      <c r="AN18" s="12" t="s">
        <v>159</v>
      </c>
      <c r="AO18" s="29" t="e">
        <f>AN18*10/AVERAGE($L$7,$M$7)</f>
        <v>#VALUE!</v>
      </c>
      <c r="AP18" s="12" t="s">
        <v>158</v>
      </c>
      <c r="AQ18" s="29" t="e">
        <f>AP18*10/AVERAGE($L$7,$M$7)</f>
        <v>#VALUE!</v>
      </c>
      <c r="AR18" s="12" t="s">
        <v>158</v>
      </c>
      <c r="AS18" s="29" t="e">
        <f>AR18*10/AVERAGE($L$7,$M$7)</f>
        <v>#VALUE!</v>
      </c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31.38</v>
      </c>
      <c r="C19" s="30">
        <f>B19/AVERAGE($Q8,$P8)</f>
        <v>0.79032867397053264</v>
      </c>
      <c r="D19" s="12">
        <v>37.42</v>
      </c>
      <c r="E19" s="30">
        <f>D19/AVERAGE($Q8,$P8)</f>
        <v>0.94245057297569579</v>
      </c>
      <c r="F19" s="12">
        <v>35.07</v>
      </c>
      <c r="G19" s="30">
        <f>F19/AVERAGE($Q8,$P8)</f>
        <v>0.88326407253494532</v>
      </c>
      <c r="H19" s="34"/>
      <c r="I19" s="274">
        <f>AVERAGE(D19,F19)</f>
        <v>36.245000000000005</v>
      </c>
      <c r="J19" s="30">
        <f>STDEV(D19,F19)/I19</f>
        <v>4.5846349449258861E-2</v>
      </c>
      <c r="K19" s="11"/>
      <c r="L19" t="s">
        <v>9</v>
      </c>
      <c r="M19" s="12">
        <v>25.86</v>
      </c>
      <c r="N19" s="12">
        <v>25.27</v>
      </c>
      <c r="O19" s="58"/>
      <c r="P19" s="58"/>
      <c r="S19" s="38"/>
      <c r="T19" s="38"/>
      <c r="U19" s="38"/>
      <c r="V19" s="16"/>
      <c r="W19" s="12">
        <v>30.97</v>
      </c>
      <c r="X19" s="30">
        <f>W19/AVERAGE($Q8,$P8)</f>
        <v>0.78000251857448688</v>
      </c>
      <c r="Y19" s="12">
        <v>30.42</v>
      </c>
      <c r="Z19" s="30">
        <f>Y19/AVERAGE($Q8,$P8)</f>
        <v>0.76615035889686445</v>
      </c>
      <c r="AA19" s="12">
        <v>30.81</v>
      </c>
      <c r="AB19" s="30">
        <f>AA19/AVERAGE($Q8,$P8)</f>
        <v>0.77597279939554209</v>
      </c>
      <c r="AC19" s="12">
        <v>30.94</v>
      </c>
      <c r="AD19" s="30">
        <f>AC19/AVERAGE($Q8,$P8)</f>
        <v>0.77924694622843482</v>
      </c>
      <c r="AE19" s="12">
        <v>29.25</v>
      </c>
      <c r="AF19" s="30">
        <f>AE19/AVERAGE($Q8,$P8)</f>
        <v>0.73668303740083119</v>
      </c>
      <c r="AG19" s="16"/>
      <c r="AH19" s="23"/>
      <c r="AI19" s="20"/>
      <c r="AJ19" s="12" t="s">
        <v>158</v>
      </c>
      <c r="AK19" s="30" t="e">
        <f>AJ19*10/AVERAGE($L$8,$M$8)</f>
        <v>#VALUE!</v>
      </c>
      <c r="AL19" s="12" t="s">
        <v>158</v>
      </c>
      <c r="AM19" s="30" t="e">
        <f>AL19*10/AVERAGE($L$8,$M$8)</f>
        <v>#VALUE!</v>
      </c>
      <c r="AN19" s="12" t="s">
        <v>159</v>
      </c>
      <c r="AO19" s="30" t="e">
        <f>AN19*10/AVERAGE($L$8,$M$8)</f>
        <v>#VALUE!</v>
      </c>
      <c r="AP19" s="12" t="s">
        <v>158</v>
      </c>
      <c r="AQ19" s="30" t="e">
        <f>AP19*10/AVERAGE($L$8,$M$8)</f>
        <v>#VALUE!</v>
      </c>
      <c r="AR19" s="12" t="s">
        <v>158</v>
      </c>
      <c r="AS19" s="30" t="e">
        <f>AR19*20/AVERAGE($L$8,$M$8)</f>
        <v>#VALUE!</v>
      </c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7.43</v>
      </c>
      <c r="C20" s="30">
        <f>B20/AVERAGE($Q9,$P9)</f>
        <v>0.70728224654926231</v>
      </c>
      <c r="D20" s="12">
        <v>10.49</v>
      </c>
      <c r="E20" s="30">
        <f>D20/AVERAGE($Q9,$P9)</f>
        <v>0.99857210851975264</v>
      </c>
      <c r="F20" s="12">
        <v>7.74</v>
      </c>
      <c r="G20" s="30">
        <f>F20/AVERAGE($Q9,$P9)</f>
        <v>0.7367920038077107</v>
      </c>
      <c r="H20" s="34"/>
      <c r="I20" s="274">
        <f>AVERAGE(D20,F20)</f>
        <v>9.1150000000000002</v>
      </c>
      <c r="J20" s="30">
        <f>STDEV(D20,F20)/I20</f>
        <v>0.21333446497674224</v>
      </c>
      <c r="L20" t="s">
        <v>7</v>
      </c>
      <c r="M20" s="12">
        <v>3.1</v>
      </c>
      <c r="N20" s="12">
        <v>4.05</v>
      </c>
      <c r="O20" s="58"/>
      <c r="P20" s="58"/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4.54</v>
      </c>
      <c r="AK20" s="12">
        <f>AJ20/0.5*10</f>
        <v>90.8</v>
      </c>
      <c r="AL20" s="12">
        <v>4.91</v>
      </c>
      <c r="AM20" s="12">
        <f>AL20/0.5*10</f>
        <v>98.2</v>
      </c>
      <c r="AN20" s="12">
        <v>4.91</v>
      </c>
      <c r="AO20" s="12">
        <f>AN20/0.5*10</f>
        <v>98.2</v>
      </c>
      <c r="AP20" s="12">
        <v>23.79</v>
      </c>
      <c r="AQ20" s="12">
        <f>AP20/0.5*10</f>
        <v>475.79999999999995</v>
      </c>
      <c r="AR20" s="12">
        <v>19.53</v>
      </c>
      <c r="AS20" s="12">
        <f>AR20/0.5*20</f>
        <v>781.2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15.28</v>
      </c>
      <c r="C21" s="30">
        <f>B21/AVERAGE($Q10,$P10)</f>
        <v>0.65607556891369689</v>
      </c>
      <c r="D21" s="12">
        <v>20.64</v>
      </c>
      <c r="E21" s="30">
        <f>D21/AVERAGE($Q10,$P10)</f>
        <v>0.88621726062687856</v>
      </c>
      <c r="F21" s="12">
        <v>15.15</v>
      </c>
      <c r="G21" s="30">
        <f>F21/AVERAGE($Q10,$P10)</f>
        <v>0.65049377415199661</v>
      </c>
      <c r="H21" s="34"/>
      <c r="I21" s="274">
        <f>AVERAGE(D21,F21)</f>
        <v>17.895</v>
      </c>
      <c r="J21" s="30">
        <f>STDEV(D21,F21)/I21</f>
        <v>0.21693301082504335</v>
      </c>
      <c r="L21" t="s">
        <v>6</v>
      </c>
      <c r="M21" s="12">
        <v>3.51</v>
      </c>
      <c r="N21" s="12">
        <v>6.22</v>
      </c>
      <c r="O21" s="58"/>
      <c r="P21" s="58"/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3.08</v>
      </c>
      <c r="AK21" s="12">
        <f>AJ21/0.5*10</f>
        <v>61.6</v>
      </c>
      <c r="AL21" s="12" t="s">
        <v>168</v>
      </c>
      <c r="AM21" s="12" t="e">
        <f>AL21/0.5*10</f>
        <v>#VALUE!</v>
      </c>
      <c r="AN21" s="12">
        <v>1.45</v>
      </c>
      <c r="AO21" s="12">
        <f>AN21/0.5*10</f>
        <v>29</v>
      </c>
      <c r="AP21" s="12">
        <v>38.14</v>
      </c>
      <c r="AQ21" s="12">
        <f>AP21/0.5*10</f>
        <v>762.8</v>
      </c>
      <c r="AR21" s="12">
        <v>33.15</v>
      </c>
      <c r="AS21" s="12">
        <f>AR21/0.5*20</f>
        <v>1326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13">
        <f>B20+B21</f>
        <v>22.71</v>
      </c>
      <c r="C22" s="30">
        <f>B22/AVERAGE($Q11,$P11)</f>
        <v>0.67199289835774523</v>
      </c>
      <c r="D22" s="52">
        <f>SUM(D$21+D$20)</f>
        <v>31.130000000000003</v>
      </c>
      <c r="E22" s="30">
        <f>D22/AVERAGE($Q11,$P11)</f>
        <v>0.92114218079597576</v>
      </c>
      <c r="F22" s="138">
        <f>F20+F21</f>
        <v>22.89</v>
      </c>
      <c r="G22" s="30">
        <f>F22/AVERAGE($Q11,$P11)</f>
        <v>0.67731913004882383</v>
      </c>
      <c r="H22" s="34"/>
      <c r="I22" s="12">
        <f>AVERAGE(D22,F22)</f>
        <v>27.01</v>
      </c>
      <c r="J22" s="30">
        <f>STDEV(D22,F22)/I22</f>
        <v>0.21571861817760613</v>
      </c>
      <c r="L22" t="s">
        <v>17</v>
      </c>
      <c r="M22" s="140">
        <f>SUM(M20,M21)</f>
        <v>6.6099999999999994</v>
      </c>
      <c r="N22" s="140">
        <f>SUM(N20,N21)</f>
        <v>10.27</v>
      </c>
      <c r="O22" s="58"/>
      <c r="P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2">
        <f>SUM(AJ20,AJ21)</f>
        <v>7.62</v>
      </c>
      <c r="AK22">
        <f>AJ22/0.5*10</f>
        <v>152.4</v>
      </c>
      <c r="AL22" s="12">
        <f>SUM(AL20,AL21)</f>
        <v>4.91</v>
      </c>
      <c r="AM22" s="12">
        <f>AL22/0.5*10</f>
        <v>98.2</v>
      </c>
      <c r="AN22" s="13">
        <f>SUM(AN20,AN21)</f>
        <v>6.36</v>
      </c>
      <c r="AO22" s="12">
        <f>AN22/0.5*10</f>
        <v>127.2</v>
      </c>
      <c r="AP22" s="13">
        <f>SUM(AP20,AP21)</f>
        <v>61.93</v>
      </c>
      <c r="AQ22" s="12">
        <f>AP22/0.5*10</f>
        <v>1238.5999999999999</v>
      </c>
      <c r="AR22" s="13">
        <f>SUM(AR20,AR21)</f>
        <v>52.68</v>
      </c>
      <c r="AS22" s="12">
        <f>AR22/0.5*20</f>
        <v>2107.1999999999998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99">
        <f>AK22/AJ24</f>
        <v>0.30480000000000002</v>
      </c>
      <c r="AL23" s="31"/>
      <c r="AM23" s="99">
        <f>AM22/AL24</f>
        <v>9.820000000000001E-2</v>
      </c>
      <c r="AN23" s="31"/>
      <c r="AO23" s="99">
        <f>AO22/AN24</f>
        <v>6.3600000000000004E-2</v>
      </c>
      <c r="AP23" s="31"/>
      <c r="AQ23" s="99">
        <f>AQ22/AP24</f>
        <v>0.41286666666666666</v>
      </c>
      <c r="AR23" s="31"/>
      <c r="AS23" s="99">
        <f>AS22/AR24</f>
        <v>0.52679999999999993</v>
      </c>
      <c r="AT23" s="2">
        <f>AVERAGE(AK23,AM23,AO23,AQ23,AS23)</f>
        <v>0.2812533333333333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98">
        <f>ABS(B22-B24)/B24</f>
        <v>0.43224999999999997</v>
      </c>
      <c r="C25" s="33"/>
      <c r="D25" s="98">
        <f>ABS(D22-D24)/D24</f>
        <v>0.22174999999999995</v>
      </c>
      <c r="E25" s="34"/>
      <c r="F25" s="98">
        <f>ABS(F22-F24)/F24</f>
        <v>0.42774999999999996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29">
        <f>ABS(AK22-AJ24)/AJ24</f>
        <v>0.69520000000000004</v>
      </c>
      <c r="AK25" s="23"/>
      <c r="AL25" s="29">
        <f>ABS(AM22-AL24)/AL24</f>
        <v>0.90179999999999993</v>
      </c>
      <c r="AM25" s="38"/>
      <c r="AN25" s="29">
        <f>ABS(AO22-AN24)/AN24</f>
        <v>0.93640000000000001</v>
      </c>
      <c r="AO25" s="38"/>
      <c r="AP25" s="29">
        <f>ABS(AQ22-AP24)/AP24</f>
        <v>0.5871333333333334</v>
      </c>
      <c r="AQ25" s="38"/>
      <c r="AR25" s="29">
        <f>ABS(AS22-AR24)/AR24</f>
        <v>0.47320000000000007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M26" s="35"/>
      <c r="N26" s="35"/>
      <c r="T26" s="35"/>
      <c r="AX26" s="35"/>
      <c r="AY26" s="35"/>
      <c r="AZ26" s="35"/>
      <c r="BA26" s="35"/>
      <c r="BB26" s="35"/>
      <c r="BC26" s="35"/>
    </row>
    <row r="27" spans="1:132" x14ac:dyDescent="0.25"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L28" t="s">
        <v>189</v>
      </c>
      <c r="AN28" t="s">
        <v>190</v>
      </c>
    </row>
    <row r="29" spans="1:132" x14ac:dyDescent="0.25">
      <c r="A29" t="s">
        <v>3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L30" s="12" t="s">
        <v>158</v>
      </c>
      <c r="AM30" s="29" t="e">
        <f>AL30*10/AVERAGE($L$7,$M$7)</f>
        <v>#VALUE!</v>
      </c>
      <c r="AN30" s="12" t="s">
        <v>159</v>
      </c>
      <c r="AO30" s="29" t="e">
        <f>AN30*10/AVERAGE($L$7,$M$7)</f>
        <v>#VALUE!</v>
      </c>
    </row>
    <row r="31" spans="1:132" x14ac:dyDescent="0.25">
      <c r="A31" t="s">
        <v>24</v>
      </c>
      <c r="V31" s="16"/>
      <c r="W31" s="17"/>
      <c r="X31" s="18"/>
      <c r="Y31" s="60"/>
      <c r="Z31" s="18"/>
      <c r="AA31" s="60"/>
      <c r="AB31" s="18"/>
      <c r="AC31" s="60"/>
      <c r="AD31" s="18"/>
      <c r="AE31" s="60"/>
      <c r="AF31" s="18"/>
      <c r="AG31" s="16"/>
      <c r="AL31" s="12" t="s">
        <v>158</v>
      </c>
      <c r="AM31" s="30" t="e">
        <f>AL31*10/AVERAGE($L$8,$M$8)</f>
        <v>#VALUE!</v>
      </c>
      <c r="AN31" s="12" t="s">
        <v>159</v>
      </c>
      <c r="AO31" s="30" t="e">
        <f>AN31*10/AVERAGE($L$8,$M$8)</f>
        <v>#VALUE!</v>
      </c>
    </row>
    <row r="32" spans="1:132" x14ac:dyDescent="0.25">
      <c r="A32" t="s">
        <v>25</v>
      </c>
      <c r="V32" s="16"/>
      <c r="W32" s="16"/>
      <c r="X32" s="23"/>
      <c r="Y32" s="16"/>
      <c r="Z32" s="23"/>
      <c r="AA32" s="16"/>
      <c r="AB32" s="23"/>
      <c r="AC32" s="16"/>
      <c r="AD32" s="23"/>
      <c r="AE32" s="16"/>
      <c r="AF32" s="23"/>
      <c r="AG32" s="16"/>
      <c r="AL32" s="12">
        <v>4.3099999999999996</v>
      </c>
      <c r="AM32" s="12">
        <f>AL32/0.5*10</f>
        <v>86.199999999999989</v>
      </c>
      <c r="AN32" s="12">
        <v>4.2699999999999996</v>
      </c>
      <c r="AO32" s="12">
        <f>AN32/0.5*10</f>
        <v>85.399999999999991</v>
      </c>
    </row>
    <row r="33" spans="1:41" x14ac:dyDescent="0.25">
      <c r="V33" s="16"/>
      <c r="W33" s="16"/>
      <c r="X33" s="38"/>
      <c r="Y33" s="16"/>
      <c r="Z33" s="38"/>
      <c r="AA33" s="16"/>
      <c r="AB33" s="38"/>
      <c r="AC33" s="16"/>
      <c r="AD33" s="23"/>
      <c r="AE33" s="16"/>
      <c r="AF33" s="23"/>
      <c r="AG33" s="16"/>
      <c r="AL33" s="12" t="s">
        <v>168</v>
      </c>
      <c r="AM33" s="12" t="e">
        <f>AL33/0.5*10</f>
        <v>#VALUE!</v>
      </c>
      <c r="AN33" s="12">
        <v>1.02</v>
      </c>
      <c r="AO33" s="12">
        <f>AN33/0.5*10</f>
        <v>20.399999999999999</v>
      </c>
    </row>
    <row r="34" spans="1:41" x14ac:dyDescent="0.25">
      <c r="A34" t="s">
        <v>23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L34" s="12">
        <f>SUM(AL32,AL33)</f>
        <v>4.3099999999999996</v>
      </c>
      <c r="AM34" s="12">
        <f>AL34/0.5*10</f>
        <v>86.199999999999989</v>
      </c>
      <c r="AN34" s="13">
        <f>SUM(AN32,AN33)</f>
        <v>5.2899999999999991</v>
      </c>
      <c r="AO34" s="12">
        <f>AN34/0.5*10</f>
        <v>105.79999999999998</v>
      </c>
    </row>
    <row r="35" spans="1:41" x14ac:dyDescent="0.25">
      <c r="A35" t="s">
        <v>18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L35" s="31"/>
      <c r="AM35" s="99">
        <f>AM34/AL36</f>
        <v>8.6199999999999985E-2</v>
      </c>
      <c r="AN35" s="31"/>
      <c r="AO35" s="99">
        <f>AO34/AN36</f>
        <v>5.2899999999999989E-2</v>
      </c>
    </row>
    <row r="36" spans="1:41" x14ac:dyDescent="0.25">
      <c r="V36" s="16"/>
      <c r="W36" s="19"/>
      <c r="X36" s="16"/>
      <c r="Y36" s="19"/>
      <c r="Z36" s="16"/>
      <c r="AA36" s="19"/>
      <c r="AB36" s="16"/>
      <c r="AC36" s="19"/>
      <c r="AD36" s="16"/>
      <c r="AE36" s="19"/>
      <c r="AF36" s="16"/>
      <c r="AG36" s="16"/>
      <c r="AL36" s="59">
        <v>1000</v>
      </c>
      <c r="AM36" s="59"/>
      <c r="AN36" s="59">
        <v>2000</v>
      </c>
      <c r="AO36" s="59"/>
    </row>
    <row r="37" spans="1:41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  <c r="AL37" s="29">
        <f>ABS(AM34-AL36)/AL36</f>
        <v>0.91379999999999995</v>
      </c>
      <c r="AM37" s="38"/>
      <c r="AN37" s="29">
        <f>ABS(AO34-AN36)/AN36</f>
        <v>0.94710000000000005</v>
      </c>
      <c r="AO37" s="38"/>
    </row>
    <row r="38" spans="1:41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41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  <c r="AL39" t="s">
        <v>191</v>
      </c>
    </row>
    <row r="40" spans="1:41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41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41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  <c r="AL42" s="12" t="s">
        <v>158</v>
      </c>
      <c r="AM42" s="29" t="e">
        <f>AL42*10/AVERAGE($L$7,$M$7)</f>
        <v>#VALUE!</v>
      </c>
      <c r="AN42" s="12" t="s">
        <v>159</v>
      </c>
      <c r="AO42" s="29" t="e">
        <f>AN42*10/AVERAGE($L$7,$M$7)</f>
        <v>#VALUE!</v>
      </c>
    </row>
    <row r="43" spans="1:41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  <c r="AL43" s="12" t="s">
        <v>158</v>
      </c>
      <c r="AM43" s="30" t="e">
        <f>AL43*10/AVERAGE($L$8,$M$8)</f>
        <v>#VALUE!</v>
      </c>
      <c r="AN43" s="12" t="s">
        <v>159</v>
      </c>
      <c r="AO43" s="30" t="e">
        <f>AN43*10/AVERAGE($L$8,$M$8)</f>
        <v>#VALUE!</v>
      </c>
    </row>
    <row r="44" spans="1:41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  <c r="AL44" s="12">
        <v>4.74</v>
      </c>
      <c r="AM44" s="12">
        <f>AL44/0.5*10</f>
        <v>94.800000000000011</v>
      </c>
      <c r="AN44" s="12">
        <v>5.41</v>
      </c>
      <c r="AO44" s="12">
        <f>AN44/0.5*10</f>
        <v>108.2</v>
      </c>
    </row>
    <row r="45" spans="1:41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L45" s="12">
        <v>2.85</v>
      </c>
      <c r="AM45" s="12">
        <f>AL45/0.5*10</f>
        <v>57</v>
      </c>
      <c r="AN45" s="12">
        <v>5.39</v>
      </c>
      <c r="AO45" s="12">
        <f>AN45/0.5*10</f>
        <v>107.8</v>
      </c>
    </row>
    <row r="46" spans="1:4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L46" s="12">
        <f>SUM(AL44,AL45)</f>
        <v>7.59</v>
      </c>
      <c r="AM46" s="12">
        <f>AL46/0.5*10</f>
        <v>151.80000000000001</v>
      </c>
      <c r="AN46" s="12">
        <f>SUM(AN44,AN45)</f>
        <v>10.8</v>
      </c>
      <c r="AO46" s="12">
        <f>AN46/0.5*10</f>
        <v>216</v>
      </c>
    </row>
    <row r="47" spans="1:4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  <c r="AL47" s="31"/>
      <c r="AM47" s="99">
        <f>AM46/AL48</f>
        <v>0.15180000000000002</v>
      </c>
      <c r="AN47" s="31"/>
      <c r="AO47" s="99">
        <f>AO46/AN48</f>
        <v>0.108</v>
      </c>
    </row>
    <row r="48" spans="1:41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  <c r="AL48" s="59">
        <v>1000</v>
      </c>
      <c r="AM48" s="59"/>
      <c r="AN48" s="59">
        <v>2000</v>
      </c>
      <c r="AO48" s="59"/>
    </row>
    <row r="49" spans="22:41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  <c r="AL49" s="29">
        <f>ABS(AM46-AL48)/AL48</f>
        <v>0.84820000000000007</v>
      </c>
      <c r="AM49" s="38"/>
      <c r="AN49" s="29">
        <f>ABS(AO46-AN48)/AN48</f>
        <v>0.89200000000000002</v>
      </c>
      <c r="AO49" s="38"/>
    </row>
    <row r="50" spans="22:41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3" tint="0.39997558519241921"/>
  </sheetPr>
  <dimension ref="A1:T13"/>
  <sheetViews>
    <sheetView zoomScale="60" zoomScaleNormal="60" workbookViewId="0">
      <selection activeCell="F4" sqref="F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153</v>
      </c>
      <c r="K2" s="125" t="s">
        <v>36</v>
      </c>
      <c r="L2" s="125" t="s">
        <v>154</v>
      </c>
      <c r="M2" s="125" t="s">
        <v>155</v>
      </c>
      <c r="N2" s="125" t="s">
        <v>84</v>
      </c>
      <c r="O2" s="125" t="s">
        <v>156</v>
      </c>
      <c r="P2" s="125" t="s">
        <v>38</v>
      </c>
      <c r="Q2" s="125" t="s">
        <v>157</v>
      </c>
      <c r="R2" s="125" t="s">
        <v>39</v>
      </c>
      <c r="S2" s="125" t="s">
        <v>93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0.89</v>
      </c>
      <c r="C4" s="119">
        <v>0.91</v>
      </c>
      <c r="D4" s="119">
        <v>0.89</v>
      </c>
      <c r="E4" s="120">
        <v>89</v>
      </c>
      <c r="F4" s="123">
        <v>0.82</v>
      </c>
      <c r="G4" s="121"/>
      <c r="H4" s="122">
        <v>0.75</v>
      </c>
      <c r="I4" s="123">
        <v>0.81</v>
      </c>
      <c r="J4" s="126">
        <v>0.83</v>
      </c>
      <c r="K4" s="126">
        <v>0.87</v>
      </c>
      <c r="L4" s="126">
        <v>0.88</v>
      </c>
      <c r="M4" s="126">
        <v>0.75</v>
      </c>
      <c r="N4" s="126">
        <v>0.92</v>
      </c>
      <c r="O4" s="126">
        <v>0.77</v>
      </c>
      <c r="P4" s="126">
        <v>0.82</v>
      </c>
      <c r="Q4" s="126">
        <v>0.8</v>
      </c>
      <c r="R4" s="126">
        <v>0.8</v>
      </c>
      <c r="S4" s="126">
        <v>0.82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35.450000000000003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65.25" customHeight="1" x14ac:dyDescent="0.25">
      <c r="A10" s="116" t="s">
        <v>96</v>
      </c>
      <c r="B10" s="130" t="s">
        <v>184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2">
        <v>118.1</v>
      </c>
      <c r="L10" s="12">
        <v>306.5</v>
      </c>
      <c r="M10" s="12">
        <v>729.8</v>
      </c>
      <c r="N10" s="71">
        <v>1150.0999999999999</v>
      </c>
      <c r="O10" s="12">
        <v>1385</v>
      </c>
      <c r="P10" s="16"/>
      <c r="Q10" s="16"/>
      <c r="R10" s="16"/>
    </row>
    <row r="11" spans="1:20" x14ac:dyDescent="0.25">
      <c r="J11" s="81"/>
      <c r="K11" s="75">
        <v>500</v>
      </c>
      <c r="L11" s="75">
        <v>1000</v>
      </c>
      <c r="M11" s="75">
        <v>2000</v>
      </c>
      <c r="N11" s="75">
        <v>3000</v>
      </c>
      <c r="O11" s="96">
        <v>4000</v>
      </c>
      <c r="P11" s="85"/>
      <c r="Q11" s="85"/>
      <c r="R11" s="85"/>
    </row>
    <row r="12" spans="1:20" x14ac:dyDescent="0.25">
      <c r="B12" s="12" t="s">
        <v>99</v>
      </c>
      <c r="C12" s="12" t="s">
        <v>100</v>
      </c>
      <c r="D12" s="12" t="s">
        <v>103</v>
      </c>
      <c r="E12" s="12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</row>
    <row r="13" spans="1:20" ht="60" x14ac:dyDescent="0.25">
      <c r="A13" s="116" t="s">
        <v>107</v>
      </c>
      <c r="B13" s="96" t="s">
        <v>101</v>
      </c>
      <c r="C13" s="96" t="s">
        <v>102</v>
      </c>
      <c r="D13" s="97" t="s">
        <v>105</v>
      </c>
      <c r="E13" s="97" t="s">
        <v>106</v>
      </c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39997558519241921"/>
  </sheetPr>
  <dimension ref="A2:GU50"/>
  <sheetViews>
    <sheetView zoomScale="60" zoomScaleNormal="60" zoomScaleSheetLayoutView="40" workbookViewId="0">
      <pane xSplit="1" topLeftCell="B1" activePane="topRight" state="frozen"/>
      <selection pane="topRight" activeCell="AS15" sqref="AS15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7" width="10.710937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179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s="102">
        <v>43803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142</v>
      </c>
      <c r="X6" s="25" t="s">
        <v>16</v>
      </c>
      <c r="Y6" s="26">
        <v>1000</v>
      </c>
      <c r="Z6" s="25" t="s">
        <v>16</v>
      </c>
      <c r="AA6" s="26" t="s">
        <v>144</v>
      </c>
      <c r="AB6" s="25" t="s">
        <v>16</v>
      </c>
      <c r="AC6" s="26" t="s">
        <v>146</v>
      </c>
      <c r="AD6" s="25" t="s">
        <v>16</v>
      </c>
      <c r="AE6" s="26" t="s">
        <v>147</v>
      </c>
      <c r="AF6" s="25" t="s">
        <v>16</v>
      </c>
      <c r="AG6" s="17"/>
      <c r="AH6" s="17"/>
      <c r="AI6" s="18"/>
      <c r="AJ6" s="24" t="s">
        <v>137</v>
      </c>
      <c r="AK6" s="25" t="s">
        <v>16</v>
      </c>
      <c r="AL6" s="26" t="s">
        <v>74</v>
      </c>
      <c r="AM6" s="25" t="s">
        <v>16</v>
      </c>
      <c r="AN6" s="26" t="s">
        <v>138</v>
      </c>
      <c r="AO6" s="25" t="s">
        <v>16</v>
      </c>
      <c r="AP6" s="26" t="s">
        <v>73</v>
      </c>
      <c r="AQ6" s="25" t="s">
        <v>16</v>
      </c>
      <c r="AR6" s="26" t="s">
        <v>139</v>
      </c>
      <c r="AS6" s="25" t="s">
        <v>16</v>
      </c>
      <c r="AT6" s="17"/>
      <c r="AU6" s="27" t="s">
        <v>54</v>
      </c>
      <c r="AV6" s="24"/>
      <c r="AW6" s="27" t="s">
        <v>115</v>
      </c>
      <c r="AX6" s="24"/>
      <c r="AY6" s="27" t="s">
        <v>116</v>
      </c>
      <c r="AZ6" s="24"/>
      <c r="BA6" s="27" t="s">
        <v>55</v>
      </c>
      <c r="BB6" s="24"/>
      <c r="BC6" s="18"/>
      <c r="BD6" s="63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s="12">
        <v>1.7</v>
      </c>
      <c r="C7" s="29">
        <f>B7/AVERAGE($M7,$N7)</f>
        <v>4.6620046620046617E-2</v>
      </c>
      <c r="D7" s="12">
        <v>1.7</v>
      </c>
      <c r="E7" s="29">
        <f>D7/AVERAGE($M7,$N7)</f>
        <v>4.6620046620046617E-2</v>
      </c>
      <c r="F7" s="12">
        <v>1.67</v>
      </c>
      <c r="G7" s="29">
        <f>F7/AVERAGE($M7,$N7)</f>
        <v>4.5797339914986968E-2</v>
      </c>
      <c r="H7" s="33"/>
      <c r="I7" s="12">
        <f>AVERAGE(B7,D7,F7)</f>
        <v>1.6900000000000002</v>
      </c>
      <c r="J7" s="30">
        <f>STDEV(B7,D7,F7)/I7</f>
        <v>1.0248821346561413E-2</v>
      </c>
      <c r="K7" s="19"/>
      <c r="L7" s="12">
        <v>34.97</v>
      </c>
      <c r="M7" s="12">
        <v>35.950000000000003</v>
      </c>
      <c r="N7" s="12">
        <v>36.979999999999997</v>
      </c>
      <c r="O7" s="12">
        <v>37.450000000000003</v>
      </c>
      <c r="P7" s="12">
        <v>38.75</v>
      </c>
      <c r="Q7" s="12">
        <v>40.090000000000003</v>
      </c>
      <c r="R7" s="141">
        <f>AVERAGE(L7,M7,N7,O7,P7,Q7)</f>
        <v>37.365000000000002</v>
      </c>
      <c r="S7" s="54">
        <f>ABS(L7-O7)/AVERAGE(O7,L7)</f>
        <v>6.8489367578017227E-2</v>
      </c>
      <c r="T7" s="38"/>
      <c r="U7" s="38"/>
      <c r="V7" s="16"/>
      <c r="W7" s="12" t="s">
        <v>158</v>
      </c>
      <c r="X7" s="29" t="e">
        <f>W7/AVERAGE($M7,$N7)</f>
        <v>#VALUE!</v>
      </c>
      <c r="Y7" s="12">
        <v>1.36</v>
      </c>
      <c r="Z7" s="29">
        <f>Y7/AVERAGE($M7,$N7)</f>
        <v>3.7296037296037296E-2</v>
      </c>
      <c r="AA7" s="12">
        <v>1.5</v>
      </c>
      <c r="AB7" s="29">
        <f>AA7/AVERAGE($M7,$N7)</f>
        <v>4.1135335252982311E-2</v>
      </c>
      <c r="AC7" s="12">
        <v>1.8</v>
      </c>
      <c r="AD7" s="29">
        <f>AC7/AVERAGE($M7,$N7)</f>
        <v>4.9362402303578773E-2</v>
      </c>
      <c r="AE7" s="12">
        <v>1.19</v>
      </c>
      <c r="AF7" s="29">
        <f>AE7/AVERAGE($M7,$N7)</f>
        <v>3.2634032634032632E-2</v>
      </c>
      <c r="AG7" s="16"/>
      <c r="AH7" s="38"/>
      <c r="AI7" s="20"/>
      <c r="AJ7" s="12" t="s">
        <v>159</v>
      </c>
      <c r="AK7" s="29" t="e">
        <f>AJ7*10/AVERAGE($L7,$M7)</f>
        <v>#VALUE!</v>
      </c>
      <c r="AL7" s="12" t="s">
        <v>159</v>
      </c>
      <c r="AM7" s="29" t="e">
        <f>AL7*10/AVERAGE($L7,$M7)</f>
        <v>#VALUE!</v>
      </c>
      <c r="AN7" s="12" t="s">
        <v>158</v>
      </c>
      <c r="AO7" s="29" t="e">
        <f>AN7*10/AVERAGE($L7,$M7)</f>
        <v>#VALUE!</v>
      </c>
      <c r="AP7" s="12" t="s">
        <v>158</v>
      </c>
      <c r="AQ7" s="29" t="e">
        <f>AP7*10/AVERAGE($L7,$M7)</f>
        <v>#VALUE!</v>
      </c>
      <c r="AR7" s="12" t="s">
        <v>158</v>
      </c>
      <c r="AS7" s="29" t="e">
        <f>AR7*20/AVERAGE($L7,$M7)</f>
        <v>#VALUE!</v>
      </c>
      <c r="AT7" s="43"/>
      <c r="AU7" s="12">
        <v>1.75</v>
      </c>
      <c r="AV7" s="29">
        <f>AU7/AVERAGE($L7,$M7)</f>
        <v>4.9351381838691484E-2</v>
      </c>
      <c r="AW7" s="12">
        <v>1.75</v>
      </c>
      <c r="AX7" s="29">
        <f>AW7/AVERAGE($L7,$M7)</f>
        <v>4.9351381838691484E-2</v>
      </c>
      <c r="AY7" s="12">
        <v>1.79</v>
      </c>
      <c r="AZ7" s="29">
        <f>AY7/AVERAGE($L7,$M7)</f>
        <v>5.0479413423575863E-2</v>
      </c>
      <c r="BA7" s="12">
        <v>1.47</v>
      </c>
      <c r="BB7" s="29">
        <f>BA7/AVERAGE($L7,$M7)</f>
        <v>4.1455160744500848E-2</v>
      </c>
      <c r="BC7" s="20"/>
      <c r="BD7" s="4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 s="12">
        <v>32.92</v>
      </c>
      <c r="C8" s="30">
        <f>B8/AVERAGE($M8,$N8)</f>
        <v>0.8903313049357674</v>
      </c>
      <c r="D8" s="12">
        <v>33.47</v>
      </c>
      <c r="E8" s="30">
        <f>D8/AVERAGE($M8,$N8)</f>
        <v>0.90520622041920207</v>
      </c>
      <c r="F8" s="12">
        <v>32.909999999999997</v>
      </c>
      <c r="G8" s="30">
        <f>F8/AVERAGE($M8,$N8)</f>
        <v>0.89006085192697759</v>
      </c>
      <c r="H8" s="34"/>
      <c r="I8" s="12">
        <f>AVERAGE(B8,D8,F8)</f>
        <v>33.1</v>
      </c>
      <c r="J8" s="30">
        <f>STDEV(B8,D8,F8)/I8</f>
        <v>9.6818249903094008E-3</v>
      </c>
      <c r="K8" s="19"/>
      <c r="L8" s="12">
        <v>36.14</v>
      </c>
      <c r="M8" s="12">
        <v>37.130000000000003</v>
      </c>
      <c r="N8" s="12">
        <v>36.82</v>
      </c>
      <c r="O8" s="12">
        <v>37.56</v>
      </c>
      <c r="P8" s="12">
        <v>40.299999999999997</v>
      </c>
      <c r="Q8" s="12">
        <v>39.840000000000003</v>
      </c>
      <c r="R8" s="141">
        <f>AVERAGE(L8,M8,N8,O8,P8,Q8)</f>
        <v>37.964999999999996</v>
      </c>
      <c r="S8" s="54">
        <f>ABS(L8-O8)/AVERAGE(O8,L8)</f>
        <v>3.8534599728629625E-2</v>
      </c>
      <c r="T8" s="38"/>
      <c r="U8" s="38"/>
      <c r="V8" s="16"/>
      <c r="W8" s="12">
        <v>30.87</v>
      </c>
      <c r="X8" s="30">
        <f>W8/AVERAGE($M8,$N8)</f>
        <v>0.83488843813387426</v>
      </c>
      <c r="Y8" s="12">
        <v>32.06</v>
      </c>
      <c r="Z8" s="30">
        <f>Y8/AVERAGE($M8,$N8)</f>
        <v>0.86707234617985129</v>
      </c>
      <c r="AA8" s="12">
        <v>32.659999999999997</v>
      </c>
      <c r="AB8" s="30">
        <f>AA8/AVERAGE($M8,$N8)</f>
        <v>0.88329952670723444</v>
      </c>
      <c r="AC8" s="12">
        <v>27.67</v>
      </c>
      <c r="AD8" s="30">
        <f>AC8/AVERAGE($M8,$N8)</f>
        <v>0.74834347532116297</v>
      </c>
      <c r="AE8" s="12">
        <v>33.93</v>
      </c>
      <c r="AF8" s="30">
        <f>AE8/AVERAGE($M8,$N8)</f>
        <v>0.91764705882352937</v>
      </c>
      <c r="AG8" s="16"/>
      <c r="AH8" s="23"/>
      <c r="AI8" s="20"/>
      <c r="AJ8" s="12" t="s">
        <v>159</v>
      </c>
      <c r="AK8" s="30" t="e">
        <f>AJ8*10/AVERAGE($L8,$M8)</f>
        <v>#VALUE!</v>
      </c>
      <c r="AL8" s="12" t="s">
        <v>159</v>
      </c>
      <c r="AM8" s="30" t="e">
        <f>AL8*10/AVERAGE($L8,$M8)</f>
        <v>#VALUE!</v>
      </c>
      <c r="AN8" s="12" t="s">
        <v>158</v>
      </c>
      <c r="AO8" s="30" t="e">
        <f>AN8*10/AVERAGE($L8,$M8)</f>
        <v>#VALUE!</v>
      </c>
      <c r="AP8" s="12" t="s">
        <v>158</v>
      </c>
      <c r="AQ8" s="30" t="e">
        <f>AP8*10/AVERAGE($L8,$M8)</f>
        <v>#VALUE!</v>
      </c>
      <c r="AR8" s="12" t="s">
        <v>158</v>
      </c>
      <c r="AS8" s="30" t="e">
        <f>AR8*20/AVERAGE($L8,$M8)</f>
        <v>#VALUE!</v>
      </c>
      <c r="AT8" s="43"/>
      <c r="AU8" s="12">
        <v>27.57</v>
      </c>
      <c r="AV8" s="30">
        <f>AU8/AVERAGE($L8,$M8)</f>
        <v>0.75255902825167176</v>
      </c>
      <c r="AW8" s="12">
        <v>28.07</v>
      </c>
      <c r="AX8" s="30">
        <f>AW8/AVERAGE($L8,$M8)</f>
        <v>0.76620717892725521</v>
      </c>
      <c r="AY8" s="12">
        <v>27.92</v>
      </c>
      <c r="AZ8" s="30">
        <f>AY8/AVERAGE($L8,$M8)</f>
        <v>0.76211273372458022</v>
      </c>
      <c r="BA8" s="12">
        <v>31.37</v>
      </c>
      <c r="BB8" s="30">
        <f>BA8/AVERAGE($O8,$P8)</f>
        <v>0.80580529154893399</v>
      </c>
      <c r="BC8" s="20"/>
      <c r="BD8" s="43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 s="12">
        <v>8.4499999999999993</v>
      </c>
      <c r="C9" s="30">
        <f>B9/AVERAGE($M9,$N9)</f>
        <v>0.72501072501072483</v>
      </c>
      <c r="D9" s="12">
        <v>9.18</v>
      </c>
      <c r="E9" s="30">
        <f>D9/AVERAGE($M9,$N9)</f>
        <v>0.78764478764478751</v>
      </c>
      <c r="F9" s="12">
        <v>7.45</v>
      </c>
      <c r="G9" s="30">
        <f>F9/AVERAGE($M9,$N9)</f>
        <v>0.63921063921063914</v>
      </c>
      <c r="H9" s="34"/>
      <c r="I9" s="12">
        <f>AVERAGE(B9,D9,F9)</f>
        <v>8.36</v>
      </c>
      <c r="J9" s="30">
        <f>STDEV(B9,D9,F9)/I9</f>
        <v>0.10388809350528001</v>
      </c>
      <c r="K9" s="16"/>
      <c r="L9" s="12">
        <v>10.050000000000001</v>
      </c>
      <c r="M9" s="12">
        <v>11.14</v>
      </c>
      <c r="N9" s="12">
        <v>12.17</v>
      </c>
      <c r="O9" s="12">
        <v>11.2</v>
      </c>
      <c r="P9" s="12">
        <v>10.68</v>
      </c>
      <c r="Q9" s="12">
        <v>11.27</v>
      </c>
      <c r="R9" s="141">
        <f>AVERAGE(L9,M9,N9,O9,P9,Q9)</f>
        <v>11.085000000000001</v>
      </c>
      <c r="S9" s="54">
        <f>ABS(L9-O9)/AVERAGE(O9,L9)</f>
        <v>0.10823529411764693</v>
      </c>
      <c r="T9" s="38"/>
      <c r="U9" s="38"/>
      <c r="V9" s="16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6"/>
      <c r="AH9" s="45"/>
      <c r="AI9" s="43"/>
      <c r="AJ9" s="12">
        <v>2.86</v>
      </c>
      <c r="AK9" s="12">
        <f>AJ9/0.5*10</f>
        <v>57.199999999999996</v>
      </c>
      <c r="AL9" s="12">
        <v>6.58</v>
      </c>
      <c r="AM9" s="12">
        <f>AL9/0.5*10</f>
        <v>131.6</v>
      </c>
      <c r="AN9" s="12">
        <v>15.97</v>
      </c>
      <c r="AO9" s="12">
        <f>AN9/0.5*10</f>
        <v>319.40000000000003</v>
      </c>
      <c r="AP9" s="12">
        <v>20.29</v>
      </c>
      <c r="AQ9" s="12">
        <f>AP9/0.5*10</f>
        <v>405.79999999999995</v>
      </c>
      <c r="AR9" s="12">
        <v>11.73</v>
      </c>
      <c r="AS9" s="12">
        <f>AR9/0.5*20</f>
        <v>469.20000000000005</v>
      </c>
      <c r="AT9" s="45"/>
      <c r="AU9" s="12">
        <v>1.04</v>
      </c>
      <c r="AV9" s="12"/>
      <c r="AW9" s="12">
        <v>1.03</v>
      </c>
      <c r="AX9" s="12"/>
      <c r="AY9" s="12">
        <v>0.94</v>
      </c>
      <c r="AZ9" s="12"/>
      <c r="BA9" s="12" t="s">
        <v>159</v>
      </c>
      <c r="BB9" s="12"/>
      <c r="BC9" s="19"/>
      <c r="BD9" s="43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 s="12">
        <v>18.079999999999998</v>
      </c>
      <c r="C10" s="30">
        <f>B10/AVERAGE($M10,$N10)</f>
        <v>0.69285303698026435</v>
      </c>
      <c r="D10" s="12">
        <v>21.77</v>
      </c>
      <c r="E10" s="30">
        <f>D10/AVERAGE($M10,$N10)</f>
        <v>0.83425943667369229</v>
      </c>
      <c r="F10" s="12">
        <v>16.84</v>
      </c>
      <c r="G10" s="30">
        <f>F10/AVERAGE($M10,$N10)</f>
        <v>0.64533435524046756</v>
      </c>
      <c r="H10" s="34"/>
      <c r="I10" s="274">
        <f>AVERAGE(B10,D10,F10)</f>
        <v>18.896666666666665</v>
      </c>
      <c r="J10" s="30">
        <f>STDEV(B10,D10,F10)/I10</f>
        <v>0.13570942446952955</v>
      </c>
      <c r="K10" s="16"/>
      <c r="L10" s="12">
        <v>22.8</v>
      </c>
      <c r="M10" s="12">
        <v>25.45</v>
      </c>
      <c r="N10" s="12">
        <v>26.74</v>
      </c>
      <c r="O10" s="12">
        <v>25.31</v>
      </c>
      <c r="P10" s="12">
        <v>24.08</v>
      </c>
      <c r="Q10" s="12">
        <v>25.18</v>
      </c>
      <c r="R10" s="141">
        <f>AVERAGE(L10,M10,N10,O10,P10,Q10)</f>
        <v>24.926666666666666</v>
      </c>
      <c r="S10" s="54">
        <f>ABS(L10-O10)/AVERAGE(O10,L10)</f>
        <v>0.10434421118270622</v>
      </c>
      <c r="T10" s="38"/>
      <c r="U10" s="38"/>
      <c r="V10" s="16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6"/>
      <c r="AH10" s="45"/>
      <c r="AI10" s="43"/>
      <c r="AJ10" s="12">
        <v>5.85</v>
      </c>
      <c r="AK10" s="12">
        <f>AJ10/0.5*10</f>
        <v>117</v>
      </c>
      <c r="AL10" s="12">
        <v>13.81</v>
      </c>
      <c r="AM10" s="12">
        <f>AL10/0.5*10</f>
        <v>276.2</v>
      </c>
      <c r="AN10" s="12">
        <v>36.35</v>
      </c>
      <c r="AO10" s="12">
        <f>AN10/0.5*10</f>
        <v>727</v>
      </c>
      <c r="AP10" s="12">
        <v>47.32</v>
      </c>
      <c r="AQ10" s="12">
        <f>AP10/0.5*10</f>
        <v>946.4</v>
      </c>
      <c r="AR10" s="12">
        <v>25.6</v>
      </c>
      <c r="AS10" s="12">
        <f>AR10/0.5*20</f>
        <v>1024</v>
      </c>
      <c r="AT10" s="45"/>
      <c r="AU10" s="12">
        <v>1.59</v>
      </c>
      <c r="AV10" s="12"/>
      <c r="AW10" s="12">
        <v>1.45</v>
      </c>
      <c r="AX10" s="12"/>
      <c r="AY10" s="12">
        <v>1.44</v>
      </c>
      <c r="AZ10" s="12"/>
      <c r="BA10" s="12" t="s">
        <v>159</v>
      </c>
      <c r="BB10" s="12"/>
      <c r="BC10" s="19"/>
      <c r="BD10" s="43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SUM(B$10+B$9)</f>
        <v>26.529999999999998</v>
      </c>
      <c r="C11" s="30">
        <f>B11/AVERAGE($M11,$N11)</f>
        <v>0.70278145695364236</v>
      </c>
      <c r="D11" s="52">
        <f>SUM(D$10+D$9)</f>
        <v>30.95</v>
      </c>
      <c r="E11" s="30">
        <f>D11/AVERAGE($M11,$N11)</f>
        <v>0.81986754966887421</v>
      </c>
      <c r="F11" s="52">
        <f>SUM(F$10+F$9)</f>
        <v>24.29</v>
      </c>
      <c r="G11" s="30">
        <f>F11/AVERAGE($M11,$N11)</f>
        <v>0.64344370860927147</v>
      </c>
      <c r="H11" s="34"/>
      <c r="I11" s="12">
        <f>AVERAGE(B11,D11)</f>
        <v>28.74</v>
      </c>
      <c r="J11" s="30">
        <f>STDEV(B11,D11,F11)/I11</f>
        <v>0.11791728617506275</v>
      </c>
      <c r="K11" s="19"/>
      <c r="L11" s="136">
        <f t="shared" ref="L11:Q11" si="0">SUM(L9,L10)</f>
        <v>32.85</v>
      </c>
      <c r="M11" s="52">
        <f t="shared" si="0"/>
        <v>36.590000000000003</v>
      </c>
      <c r="N11" s="12">
        <f t="shared" si="0"/>
        <v>38.909999999999997</v>
      </c>
      <c r="O11" s="12">
        <f t="shared" si="0"/>
        <v>36.51</v>
      </c>
      <c r="P11" s="52">
        <f t="shared" si="0"/>
        <v>34.76</v>
      </c>
      <c r="Q11" s="52">
        <f t="shared" si="0"/>
        <v>36.450000000000003</v>
      </c>
      <c r="R11" s="141">
        <f>AVERAGE(L11,M11,N11,O11,P11,Q11)</f>
        <v>36.011666666666663</v>
      </c>
      <c r="S11" s="54">
        <f>ABS(L11-O11)/AVERAGE(O11,L11)</f>
        <v>0.10553633217993069</v>
      </c>
      <c r="T11" s="38"/>
      <c r="U11" s="38"/>
      <c r="V11" s="16"/>
      <c r="W11" s="13"/>
      <c r="X11" s="12"/>
      <c r="Y11" s="13"/>
      <c r="Z11" s="12"/>
      <c r="AA11" s="13"/>
      <c r="AB11" s="12"/>
      <c r="AC11" s="13"/>
      <c r="AD11" s="12"/>
      <c r="AE11" s="13"/>
      <c r="AF11" s="12"/>
      <c r="AG11" s="16"/>
      <c r="AH11" s="45"/>
      <c r="AI11" s="43"/>
      <c r="AJ11" s="12">
        <f>SUM(AJ9,AJ10)</f>
        <v>8.7099999999999991</v>
      </c>
      <c r="AK11" s="12">
        <f>AJ11/0.5*10</f>
        <v>174.2</v>
      </c>
      <c r="AL11" s="12">
        <f>SUM(AL9,AL10)</f>
        <v>20.39</v>
      </c>
      <c r="AM11" s="12">
        <f>AL11/0.5*10</f>
        <v>407.8</v>
      </c>
      <c r="AN11" s="13">
        <f>SUM(AN9,AN10)</f>
        <v>52.32</v>
      </c>
      <c r="AO11" s="12">
        <f>AN11/0.5*10</f>
        <v>1046.4000000000001</v>
      </c>
      <c r="AP11" s="13">
        <f>SUM(AP9,AP10)</f>
        <v>67.61</v>
      </c>
      <c r="AQ11" s="12">
        <f>AP11/0.5*10</f>
        <v>1352.2</v>
      </c>
      <c r="AR11" s="13">
        <f>SUM(AR9,AR10)</f>
        <v>37.33</v>
      </c>
      <c r="AS11" s="12">
        <f>AR11/0.5*20</f>
        <v>1493.1999999999998</v>
      </c>
      <c r="AT11" s="45" t="s">
        <v>81</v>
      </c>
      <c r="AU11" s="12"/>
      <c r="AV11" s="12"/>
      <c r="AW11" s="12"/>
      <c r="AX11" s="12"/>
      <c r="AY11" s="12"/>
      <c r="AZ11" s="12"/>
      <c r="BA11" s="12"/>
      <c r="BB11" s="12"/>
      <c r="BC11" s="19"/>
      <c r="BD11" s="19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 t="shared" ref="L12:R12" si="1">(L7+L8+L11)/3</f>
        <v>34.653333333333336</v>
      </c>
      <c r="M12" s="275">
        <f t="shared" si="1"/>
        <v>36.556666666666672</v>
      </c>
      <c r="N12" s="55">
        <f t="shared" si="1"/>
        <v>37.57</v>
      </c>
      <c r="O12" s="275">
        <f t="shared" si="1"/>
        <v>37.173333333333339</v>
      </c>
      <c r="P12" s="275">
        <f t="shared" si="1"/>
        <v>37.936666666666667</v>
      </c>
      <c r="Q12" s="275">
        <f t="shared" si="1"/>
        <v>38.793333333333337</v>
      </c>
      <c r="R12" s="275">
        <f t="shared" si="1"/>
        <v>37.113888888888887</v>
      </c>
      <c r="S12" s="55"/>
      <c r="T12" s="37"/>
      <c r="U12" s="37"/>
      <c r="V12" s="1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1"/>
      <c r="AH12" s="21"/>
      <c r="AI12" s="20"/>
      <c r="AJ12" s="137"/>
      <c r="AK12" s="69">
        <f>AK11/AJ13</f>
        <v>0.34839999999999999</v>
      </c>
      <c r="AL12" s="31"/>
      <c r="AM12" s="69">
        <f>AM11/AL13</f>
        <v>0.4078</v>
      </c>
      <c r="AN12" s="31"/>
      <c r="AO12" s="69">
        <f>AO11/AN13</f>
        <v>0.5232</v>
      </c>
      <c r="AP12" s="31"/>
      <c r="AQ12" s="69">
        <f>AQ11/AP13</f>
        <v>0.45073333333333337</v>
      </c>
      <c r="AR12" s="31"/>
      <c r="AS12" s="69">
        <f>AS11/AR13</f>
        <v>0.37329999999999997</v>
      </c>
      <c r="AT12" s="2">
        <f>AVERAGE(AK12,AM12,AO12,AQ12,AS12)</f>
        <v>0.42068666666666665</v>
      </c>
      <c r="AU12" s="31"/>
      <c r="AV12" s="31"/>
      <c r="AW12" s="31"/>
      <c r="AX12" s="31"/>
      <c r="AY12" s="31"/>
      <c r="AZ12" s="31"/>
      <c r="BA12" s="31"/>
      <c r="BB12" s="31"/>
      <c r="BC12" s="20"/>
      <c r="BD12" s="66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22"/>
      <c r="AH13" s="22"/>
      <c r="AI13" s="44"/>
      <c r="AJ13" s="32">
        <v>500</v>
      </c>
      <c r="AK13" s="59"/>
      <c r="AL13" s="59">
        <v>1000</v>
      </c>
      <c r="AM13" s="59"/>
      <c r="AN13" s="59">
        <v>2000</v>
      </c>
      <c r="AO13" s="59"/>
      <c r="AP13" s="59">
        <v>3000</v>
      </c>
      <c r="AQ13" s="59"/>
      <c r="AR13" s="59">
        <v>4000</v>
      </c>
      <c r="AS13" s="32"/>
      <c r="AT13" s="22"/>
      <c r="AU13" s="32"/>
      <c r="AV13" s="32"/>
      <c r="AW13" s="32"/>
      <c r="AX13" s="32"/>
      <c r="AY13" s="32"/>
      <c r="AZ13" s="32"/>
      <c r="BA13" s="32"/>
      <c r="BB13" s="32"/>
      <c r="BC13" s="44"/>
      <c r="BD13" s="67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98">
        <f>ABS(B11-B13)/B13</f>
        <v>0.33675000000000005</v>
      </c>
      <c r="C14" s="33"/>
      <c r="D14" s="98">
        <f>ABS(D11-D13)/D13</f>
        <v>0.22625000000000001</v>
      </c>
      <c r="E14" s="34"/>
      <c r="F14" s="98">
        <f>ABS(F11-F13)/F13</f>
        <v>0.39275000000000004</v>
      </c>
      <c r="G14" s="34"/>
      <c r="H14" s="34"/>
      <c r="I14" s="34"/>
      <c r="J14" s="34"/>
      <c r="K14" s="38"/>
      <c r="L14" s="30">
        <f t="shared" ref="L14:R14" si="2">(L12-L13)/L13</f>
        <v>-0.1336666666666666</v>
      </c>
      <c r="M14" s="30">
        <f t="shared" si="2"/>
        <v>-8.6083333333333206E-2</v>
      </c>
      <c r="N14" s="30">
        <f t="shared" si="2"/>
        <v>-6.0749999999999992E-2</v>
      </c>
      <c r="O14" s="30">
        <f t="shared" si="2"/>
        <v>-7.0666666666666517E-2</v>
      </c>
      <c r="P14" s="30">
        <f t="shared" si="2"/>
        <v>-5.1583333333333314E-2</v>
      </c>
      <c r="Q14" s="30">
        <f t="shared" si="2"/>
        <v>-3.0166666666666585E-2</v>
      </c>
      <c r="R14" s="30">
        <f t="shared" si="2"/>
        <v>-7.2152777777777816E-2</v>
      </c>
      <c r="S14" s="56"/>
      <c r="T14" s="19"/>
      <c r="U14" s="19"/>
      <c r="V14" s="19"/>
      <c r="W14" s="49"/>
      <c r="X14" s="23"/>
      <c r="Y14" s="49"/>
      <c r="Z14" s="38"/>
      <c r="AA14" s="49"/>
      <c r="AB14" s="38"/>
      <c r="AC14" s="38"/>
      <c r="AD14" s="38"/>
      <c r="AE14" s="38"/>
      <c r="AF14" s="38"/>
      <c r="AG14" s="38"/>
      <c r="AH14" s="38"/>
      <c r="AI14" s="16"/>
      <c r="AJ14" s="72">
        <f>ABS(AK11-AJ13)/AJ13</f>
        <v>0.65160000000000007</v>
      </c>
      <c r="AK14" s="61"/>
      <c r="AL14" s="100">
        <f>ABS(AM11-AL13)/AL13</f>
        <v>0.59220000000000006</v>
      </c>
      <c r="AM14" s="62"/>
      <c r="AN14" s="100">
        <f>ABS(AO11-AN13)/AN13</f>
        <v>0.47679999999999995</v>
      </c>
      <c r="AO14" s="62"/>
      <c r="AP14" s="100">
        <f>ABS(AQ11-AP13)/AP13</f>
        <v>0.54926666666666668</v>
      </c>
      <c r="AQ14" s="62"/>
      <c r="AR14" s="100">
        <f>ABS(AS11-AR13)/AR13</f>
        <v>0.62670000000000003</v>
      </c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U15" s="35"/>
      <c r="V15" s="68" t="s">
        <v>79</v>
      </c>
      <c r="W15" s="30">
        <f>AVERAGE(X8,X19)</f>
        <v>0.8045168419768447</v>
      </c>
      <c r="X15" s="71"/>
      <c r="Y15" s="30">
        <f>AVERAGE(Z8,Z19)</f>
        <v>0.84469165100357679</v>
      </c>
      <c r="Z15" s="71"/>
      <c r="AA15" s="30">
        <f>AVERAGE(AB8,AB19)</f>
        <v>0.84294749232791211</v>
      </c>
      <c r="AB15" s="71"/>
      <c r="AC15" s="30">
        <f>AVERAGE(AD8,AD19)</f>
        <v>0.7724747074634265</v>
      </c>
      <c r="AD15" s="71"/>
      <c r="AE15" s="30">
        <f>AVERAGE(AF8,AF19)</f>
        <v>0.87022857058970327</v>
      </c>
      <c r="AF15" s="16"/>
      <c r="AG15" s="16"/>
      <c r="AH15" s="16"/>
      <c r="AI15" s="68" t="s">
        <v>129</v>
      </c>
      <c r="AJ15" s="103">
        <f>AVERAGE(AK11,AK22)</f>
        <v>118.1</v>
      </c>
      <c r="AK15" s="71"/>
      <c r="AL15" s="103">
        <f>AVERAGE(AM11,AM22)</f>
        <v>306.5</v>
      </c>
      <c r="AM15" s="71"/>
      <c r="AN15" s="103">
        <f>AVERAGE(AO22,AO11)</f>
        <v>729.80000000000007</v>
      </c>
      <c r="AO15" s="71"/>
      <c r="AP15" s="103">
        <f>AVERAGE(AQ11,AQ22)</f>
        <v>1150.1000000000001</v>
      </c>
      <c r="AQ15" s="71"/>
      <c r="AR15" s="277">
        <f>AVERAGE(AS11,AS22)</f>
        <v>1385</v>
      </c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57"/>
      <c r="M17" s="57"/>
      <c r="N17" s="57"/>
      <c r="O17" s="57"/>
      <c r="P17" s="57"/>
      <c r="Q17" s="17"/>
      <c r="R17" s="18"/>
      <c r="S17" s="17"/>
      <c r="T17" s="17"/>
      <c r="U17" s="17"/>
      <c r="V17" s="18"/>
      <c r="W17" s="24" t="s">
        <v>143</v>
      </c>
      <c r="X17" s="25" t="s">
        <v>16</v>
      </c>
      <c r="Y17" s="26" t="s">
        <v>61</v>
      </c>
      <c r="Z17" s="25" t="s">
        <v>16</v>
      </c>
      <c r="AA17" s="26" t="s">
        <v>145</v>
      </c>
      <c r="AB17" s="25" t="s">
        <v>16</v>
      </c>
      <c r="AC17" s="26" t="s">
        <v>62</v>
      </c>
      <c r="AD17" s="25" t="s">
        <v>16</v>
      </c>
      <c r="AE17" s="26" t="s">
        <v>63</v>
      </c>
      <c r="AF17" s="25" t="s">
        <v>16</v>
      </c>
      <c r="AG17" s="17"/>
      <c r="AH17" s="17"/>
      <c r="AI17" s="18"/>
      <c r="AJ17" s="24" t="s">
        <v>140</v>
      </c>
      <c r="AK17" s="25" t="s">
        <v>16</v>
      </c>
      <c r="AL17" s="26" t="s">
        <v>66</v>
      </c>
      <c r="AM17" s="25" t="s">
        <v>16</v>
      </c>
      <c r="AN17" s="26" t="s">
        <v>141</v>
      </c>
      <c r="AO17" s="25" t="s">
        <v>16</v>
      </c>
      <c r="AP17" s="26" t="s">
        <v>67</v>
      </c>
      <c r="AQ17" s="25" t="s">
        <v>16</v>
      </c>
      <c r="AR17" s="26" t="s">
        <v>68</v>
      </c>
      <c r="AS17" s="25" t="s">
        <v>16</v>
      </c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x14ac:dyDescent="0.25">
      <c r="B18" s="12">
        <v>3.28</v>
      </c>
      <c r="C18" s="29">
        <f>B18/AVERAGE($Q7,$P7)</f>
        <v>8.320649416539827E-2</v>
      </c>
      <c r="D18" s="12">
        <v>2.4</v>
      </c>
      <c r="E18" s="29">
        <f>D18/AVERAGE($Q7,$P7)</f>
        <v>6.0882800608828003E-2</v>
      </c>
      <c r="F18" s="138">
        <v>1.42</v>
      </c>
      <c r="G18" s="29">
        <f>F18/AVERAGE($Q7,$P7)</f>
        <v>3.6022323693556568E-2</v>
      </c>
      <c r="H18" s="33"/>
      <c r="I18" s="12">
        <f>AVERAGE(D18,F18)</f>
        <v>1.91</v>
      </c>
      <c r="J18" s="29">
        <f>STDEV(D18,B18)/I18</f>
        <v>0.32578741751003237</v>
      </c>
      <c r="K18" s="1"/>
      <c r="L18" s="58"/>
      <c r="M18" s="58"/>
      <c r="N18" s="58"/>
      <c r="O18" s="58"/>
      <c r="P18" s="58"/>
      <c r="Q18" s="1"/>
      <c r="S18" s="38"/>
      <c r="T18" s="38"/>
      <c r="U18" s="38"/>
      <c r="V18" s="16"/>
      <c r="W18" s="12">
        <v>1.37</v>
      </c>
      <c r="X18" s="29">
        <f>W18/AVERAGE($Q7,$P7)</f>
        <v>3.4753932014205985E-2</v>
      </c>
      <c r="Y18" s="12">
        <v>1.32</v>
      </c>
      <c r="Z18" s="29">
        <f>Y18/AVERAGE($Q7,$P7)</f>
        <v>3.3485540334855401E-2</v>
      </c>
      <c r="AA18" s="12">
        <v>1.1200000000000001</v>
      </c>
      <c r="AB18" s="29">
        <f>AA18/AVERAGE($Q7,$P7)</f>
        <v>2.8411973617453071E-2</v>
      </c>
      <c r="AC18" s="12">
        <v>1.64</v>
      </c>
      <c r="AD18" s="29">
        <f>AC18/AVERAGE($Q7,$P7)</f>
        <v>4.1603247082699135E-2</v>
      </c>
      <c r="AE18" s="12">
        <v>2.04</v>
      </c>
      <c r="AF18" s="29">
        <f>AE18/AVERAGE($Q7,$P7)</f>
        <v>5.1750380517503802E-2</v>
      </c>
      <c r="AG18" s="16"/>
      <c r="AH18" s="38"/>
      <c r="AI18" s="20"/>
      <c r="AJ18" s="12" t="s">
        <v>158</v>
      </c>
      <c r="AK18" s="29" t="e">
        <f>AJ18*10/AVERAGE($L$7,$M$7)</f>
        <v>#VALUE!</v>
      </c>
      <c r="AL18" s="12" t="s">
        <v>158</v>
      </c>
      <c r="AM18" s="29" t="e">
        <f>AL18*10/AVERAGE($L$7,$M$7)</f>
        <v>#VALUE!</v>
      </c>
      <c r="AN18" s="12" t="s">
        <v>159</v>
      </c>
      <c r="AO18" s="29" t="e">
        <f>AN18*10/AVERAGE($L$7,$M$7)</f>
        <v>#VALUE!</v>
      </c>
      <c r="AP18" s="12" t="s">
        <v>158</v>
      </c>
      <c r="AQ18" s="29" t="e">
        <f>AP18*10/AVERAGE($L$7,$M$7)</f>
        <v>#VALUE!</v>
      </c>
      <c r="AR18" s="12" t="s">
        <v>158</v>
      </c>
      <c r="AS18" s="29" t="e">
        <f>AR18*10/AVERAGE($L$7,$M$7)</f>
        <v>#VALUE!</v>
      </c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x14ac:dyDescent="0.25">
      <c r="B19" s="12">
        <v>35.81</v>
      </c>
      <c r="C19" s="30">
        <f>B19/AVERAGE($Q8,$P8)</f>
        <v>0.89368604941352636</v>
      </c>
      <c r="D19" s="12">
        <v>32.770000000000003</v>
      </c>
      <c r="E19" s="30">
        <f>D19/AVERAGE($Q8,$P8)</f>
        <v>0.81781881707012738</v>
      </c>
      <c r="F19" s="138">
        <v>20.260000000000002</v>
      </c>
      <c r="G19" s="29">
        <f>F19/AVERAGE($Q8,$P8)</f>
        <v>0.50561517344646867</v>
      </c>
      <c r="H19" s="34"/>
      <c r="I19" s="274">
        <f>AVERAGE(D19,F19)</f>
        <v>26.515000000000001</v>
      </c>
      <c r="J19" s="30">
        <f>STDEV(D19,B19)/I19</f>
        <v>8.1071265879958665E-2</v>
      </c>
      <c r="K19" s="11"/>
      <c r="L19" s="58"/>
      <c r="M19" s="58"/>
      <c r="N19" s="58"/>
      <c r="O19" s="58"/>
      <c r="P19" s="58"/>
      <c r="S19" s="38"/>
      <c r="T19" s="38"/>
      <c r="U19" s="38"/>
      <c r="V19" s="16"/>
      <c r="W19" s="12">
        <v>31.02</v>
      </c>
      <c r="X19" s="30">
        <f>W19/AVERAGE($Q8,$P8)</f>
        <v>0.77414524581981525</v>
      </c>
      <c r="Y19" s="12">
        <v>32.950000000000003</v>
      </c>
      <c r="Z19" s="30">
        <f>Y19/AVERAGE($Q8,$P8)</f>
        <v>0.82231095582730229</v>
      </c>
      <c r="AA19" s="12">
        <v>32.159999999999997</v>
      </c>
      <c r="AB19" s="30">
        <f>AA19/AVERAGE($Q8,$P8)</f>
        <v>0.80259545794858989</v>
      </c>
      <c r="AC19" s="12">
        <v>31.92</v>
      </c>
      <c r="AD19" s="30">
        <f>AC19/AVERAGE($Q8,$P8)</f>
        <v>0.79660593960569004</v>
      </c>
      <c r="AE19" s="12">
        <v>32.97</v>
      </c>
      <c r="AF19" s="30">
        <f>AE19/AVERAGE($Q8,$P8)</f>
        <v>0.82281008235587716</v>
      </c>
      <c r="AG19" s="16"/>
      <c r="AH19" s="23"/>
      <c r="AI19" s="20"/>
      <c r="AJ19" s="12" t="s">
        <v>158</v>
      </c>
      <c r="AK19" s="30" t="e">
        <f>AJ19*10/AVERAGE($L$8,$M$8)</f>
        <v>#VALUE!</v>
      </c>
      <c r="AL19" s="12" t="s">
        <v>158</v>
      </c>
      <c r="AM19" s="30" t="e">
        <f>AL19*10/AVERAGE($L$8,$M$8)</f>
        <v>#VALUE!</v>
      </c>
      <c r="AN19" s="12" t="s">
        <v>159</v>
      </c>
      <c r="AO19" s="30" t="e">
        <f>AN19*10/AVERAGE($L$8,$M$8)</f>
        <v>#VALUE!</v>
      </c>
      <c r="AP19" s="12" t="s">
        <v>158</v>
      </c>
      <c r="AQ19" s="30" t="e">
        <f>AP19*10/AVERAGE($L$8,$M$8)</f>
        <v>#VALUE!</v>
      </c>
      <c r="AR19" s="12" t="s">
        <v>158</v>
      </c>
      <c r="AS19" s="30" t="e">
        <f>AR19*20/AVERAGE($L$8,$M$8)</f>
        <v>#VALUE!</v>
      </c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x14ac:dyDescent="0.25">
      <c r="A20" t="s">
        <v>0</v>
      </c>
      <c r="B20" s="12">
        <v>8.43</v>
      </c>
      <c r="C20" s="30">
        <f>B20/AVERAGE($Q9,$P9)</f>
        <v>0.76810933940774484</v>
      </c>
      <c r="D20" s="12">
        <v>8.26</v>
      </c>
      <c r="E20" s="30">
        <f>D20/AVERAGE($Q9,$P9)</f>
        <v>0.752619589977221</v>
      </c>
      <c r="F20" s="138">
        <v>6.72</v>
      </c>
      <c r="G20" s="29">
        <f>F20/AVERAGE($Q9,$P9)</f>
        <v>0.61230068337129839</v>
      </c>
      <c r="H20" s="34"/>
      <c r="I20" s="12">
        <f>AVERAGE(D20,F20)</f>
        <v>7.49</v>
      </c>
      <c r="J20" s="30">
        <f>STDEV(D20,B20)/I20</f>
        <v>1.6049152576997735E-2</v>
      </c>
      <c r="L20" s="58"/>
      <c r="M20" s="58"/>
      <c r="N20" s="58"/>
      <c r="O20" s="58"/>
      <c r="P20" s="58"/>
      <c r="S20" s="38"/>
      <c r="T20" s="38"/>
      <c r="U20" s="38"/>
      <c r="V20" s="1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6"/>
      <c r="AH20" s="45"/>
      <c r="AI20" s="43"/>
      <c r="AJ20" s="12">
        <v>1.65</v>
      </c>
      <c r="AK20" s="12">
        <f>AJ20/0.5*10</f>
        <v>33</v>
      </c>
      <c r="AL20" s="12">
        <v>3.88</v>
      </c>
      <c r="AM20" s="12">
        <f>AL20/0.5*10</f>
        <v>77.599999999999994</v>
      </c>
      <c r="AN20" s="12">
        <v>7.48</v>
      </c>
      <c r="AO20" s="12">
        <f>AN20/0.5*10</f>
        <v>149.60000000000002</v>
      </c>
      <c r="AP20" s="12">
        <v>16.850000000000001</v>
      </c>
      <c r="AQ20" s="12">
        <f>AP20/0.5*10</f>
        <v>337</v>
      </c>
      <c r="AR20" s="12">
        <v>11.82</v>
      </c>
      <c r="AS20" s="12">
        <f>AR20/0.5*20</f>
        <v>472.8</v>
      </c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x14ac:dyDescent="0.25">
      <c r="B21" s="12">
        <v>18.18</v>
      </c>
      <c r="C21" s="30">
        <f>B21/AVERAGE($Q10,$P10)</f>
        <v>0.73812423873325217</v>
      </c>
      <c r="D21" s="12">
        <v>17.760000000000002</v>
      </c>
      <c r="E21" s="30">
        <f>D21/AVERAGE($Q10,$P10)</f>
        <v>0.72107186358099884</v>
      </c>
      <c r="F21" s="138">
        <v>13.33</v>
      </c>
      <c r="G21" s="29">
        <f>F21/AVERAGE($Q10,$P10)</f>
        <v>0.54120990661794566</v>
      </c>
      <c r="H21" s="34"/>
      <c r="I21" s="274">
        <f>AVERAGE(D21,F21)</f>
        <v>15.545000000000002</v>
      </c>
      <c r="J21" s="30">
        <f>STDEV(D21,B21)/I21</f>
        <v>1.9104847095422876E-2</v>
      </c>
      <c r="L21" s="58"/>
      <c r="M21" s="58"/>
      <c r="N21" s="58"/>
      <c r="O21" s="58"/>
      <c r="P21" s="58"/>
      <c r="S21" s="38"/>
      <c r="T21" s="38"/>
      <c r="U21" s="38"/>
      <c r="V21" s="1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6"/>
      <c r="AH21" s="45"/>
      <c r="AI21" s="43"/>
      <c r="AJ21" s="12">
        <v>1.45</v>
      </c>
      <c r="AK21" s="12">
        <f>AJ21/0.5*10</f>
        <v>29</v>
      </c>
      <c r="AL21" s="12">
        <v>6.38</v>
      </c>
      <c r="AM21" s="12">
        <f>AL21/0.5*10</f>
        <v>127.6</v>
      </c>
      <c r="AN21" s="12">
        <v>13.18</v>
      </c>
      <c r="AO21" s="12">
        <f>AN21/0.5*10</f>
        <v>263.60000000000002</v>
      </c>
      <c r="AP21" s="12">
        <v>30.55</v>
      </c>
      <c r="AQ21" s="12">
        <f>AP21/0.5*10</f>
        <v>611</v>
      </c>
      <c r="AR21" s="12">
        <v>20.100000000000001</v>
      </c>
      <c r="AS21" s="12">
        <f>AR21/0.5*20</f>
        <v>804</v>
      </c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13">
        <f>B20+B21</f>
        <v>26.61</v>
      </c>
      <c r="C22" s="30">
        <f>B22/AVERAGE($Q11,$P11)</f>
        <v>0.74736694284510596</v>
      </c>
      <c r="D22" s="52">
        <f>SUM(D$21+D$20)</f>
        <v>26.020000000000003</v>
      </c>
      <c r="E22" s="30">
        <f>D22/AVERAGE($Q11,$P11)</f>
        <v>0.73079623648363989</v>
      </c>
      <c r="F22" s="138">
        <f>F20+F21</f>
        <v>20.05</v>
      </c>
      <c r="G22" s="29">
        <f>F22/AVERAGE($Q11,$P11)</f>
        <v>0.56312315685999148</v>
      </c>
      <c r="H22" s="34"/>
      <c r="I22" s="274">
        <f>AVERAGE(D22,F22)</f>
        <v>23.035000000000004</v>
      </c>
      <c r="J22" s="30">
        <f>STDEV(D22,B22)/I22</f>
        <v>1.8111265504669433E-2</v>
      </c>
      <c r="L22" s="58"/>
      <c r="M22" s="58"/>
      <c r="N22" s="58"/>
      <c r="O22" s="58"/>
      <c r="P22" s="58"/>
      <c r="S22" s="38"/>
      <c r="T22" s="38"/>
      <c r="U22" s="38"/>
      <c r="V22" s="16"/>
      <c r="W22" s="13"/>
      <c r="X22" s="12"/>
      <c r="Y22" s="13"/>
      <c r="Z22" s="12"/>
      <c r="AA22" s="12"/>
      <c r="AB22" s="12"/>
      <c r="AC22" s="12"/>
      <c r="AD22" s="12"/>
      <c r="AE22" s="12"/>
      <c r="AF22" s="12"/>
      <c r="AG22" s="16"/>
      <c r="AH22" s="45"/>
      <c r="AI22" s="43"/>
      <c r="AJ22" s="12">
        <f>SUM(AJ20,AJ21)</f>
        <v>3.0999999999999996</v>
      </c>
      <c r="AK22">
        <f>AJ22/0.5*10</f>
        <v>61.999999999999993</v>
      </c>
      <c r="AL22" s="12">
        <f>SUM(AL20,AL21)</f>
        <v>10.26</v>
      </c>
      <c r="AM22" s="12">
        <f>AL22/0.5*10</f>
        <v>205.2</v>
      </c>
      <c r="AN22" s="13">
        <f>SUM(AN20,AN21)</f>
        <v>20.66</v>
      </c>
      <c r="AO22" s="12">
        <f>AN22/0.5*10</f>
        <v>413.2</v>
      </c>
      <c r="AP22" s="13">
        <f>SUM(AP20,AP21)</f>
        <v>47.400000000000006</v>
      </c>
      <c r="AQ22" s="12">
        <f>AP22/0.5*10</f>
        <v>948.00000000000011</v>
      </c>
      <c r="AR22" s="13">
        <f>SUM(AR20,AR21)</f>
        <v>31.92</v>
      </c>
      <c r="AS22" s="12">
        <f>AR22/0.5*20</f>
        <v>1276.8000000000002</v>
      </c>
      <c r="AT22" s="21" t="s">
        <v>78</v>
      </c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37"/>
      <c r="M23" s="37"/>
      <c r="N23" s="37"/>
      <c r="O23" s="37"/>
      <c r="P23" s="37"/>
      <c r="Q23" s="1"/>
      <c r="R23" s="1"/>
      <c r="S23" s="37"/>
      <c r="T23" s="37"/>
      <c r="U23" s="37"/>
      <c r="V23" s="1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1"/>
      <c r="AH23" s="21"/>
      <c r="AI23" s="20"/>
      <c r="AJ23" s="31"/>
      <c r="AK23" s="99">
        <f>AK22/AJ24</f>
        <v>0.12399999999999999</v>
      </c>
      <c r="AL23" s="31"/>
      <c r="AM23" s="99">
        <f>AM22/AL24</f>
        <v>0.20519999999999999</v>
      </c>
      <c r="AN23" s="31"/>
      <c r="AO23" s="99">
        <f>AO22/AN24</f>
        <v>0.20660000000000001</v>
      </c>
      <c r="AP23" s="31"/>
      <c r="AQ23" s="99">
        <f>AQ22/AP24</f>
        <v>0.31600000000000006</v>
      </c>
      <c r="AR23" s="31"/>
      <c r="AS23" s="99">
        <f>AS22/AR24</f>
        <v>0.31920000000000004</v>
      </c>
      <c r="AT23" s="2">
        <f>AVERAGE(AK23,AM23,AO23,AQ23,AS23)</f>
        <v>0.23420000000000005</v>
      </c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19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22"/>
      <c r="AH24" s="22"/>
      <c r="AI24" s="44"/>
      <c r="AJ24" s="32">
        <v>500</v>
      </c>
      <c r="AK24" s="59"/>
      <c r="AL24" s="59">
        <v>1000</v>
      </c>
      <c r="AM24" s="59"/>
      <c r="AN24" s="59">
        <v>2000</v>
      </c>
      <c r="AO24" s="59"/>
      <c r="AP24" s="59">
        <v>3000</v>
      </c>
      <c r="AQ24" s="59"/>
      <c r="AR24" s="59">
        <v>4000</v>
      </c>
      <c r="AS24" s="3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x14ac:dyDescent="0.25">
      <c r="A25" t="s">
        <v>2</v>
      </c>
      <c r="B25" s="98">
        <f>ABS(B22-B24)/B24</f>
        <v>0.33474999999999999</v>
      </c>
      <c r="C25" s="33"/>
      <c r="D25" s="98">
        <f>ABS(D22-D24)/D24</f>
        <v>0.34949999999999992</v>
      </c>
      <c r="E25" s="34"/>
      <c r="F25" s="98">
        <f>ABS(F22-F24)/F24</f>
        <v>0.49874999999999997</v>
      </c>
      <c r="G25" s="34"/>
      <c r="H25" s="34"/>
      <c r="I25" s="34"/>
      <c r="J25" s="34"/>
      <c r="L25" s="23"/>
      <c r="M25" s="23"/>
      <c r="N25" s="23"/>
      <c r="O25" s="23"/>
      <c r="P25" s="23"/>
      <c r="Q25" s="38"/>
      <c r="R25" s="38"/>
      <c r="S25" s="19"/>
      <c r="T25" s="19"/>
      <c r="U25" s="19"/>
      <c r="V25" s="19"/>
      <c r="W25" s="45"/>
      <c r="X25" s="23"/>
      <c r="Y25" s="45"/>
      <c r="Z25" s="38"/>
      <c r="AA25" s="45"/>
      <c r="AB25" s="38"/>
      <c r="AC25" s="38"/>
      <c r="AD25" s="38"/>
      <c r="AE25" s="38"/>
      <c r="AF25" s="38"/>
      <c r="AG25" s="38"/>
      <c r="AH25" s="38"/>
      <c r="AI25" s="16"/>
      <c r="AJ25" s="29">
        <f>ABS(AK22-AJ24)/AJ24</f>
        <v>0.876</v>
      </c>
      <c r="AK25" s="23"/>
      <c r="AL25" s="29">
        <f>ABS(AM22-AL24)/AL24</f>
        <v>0.79479999999999995</v>
      </c>
      <c r="AM25" s="38"/>
      <c r="AN25" s="29">
        <f>ABS(AO22-AN24)/AN24</f>
        <v>0.79339999999999999</v>
      </c>
      <c r="AO25" s="38"/>
      <c r="AP25" s="29">
        <f>ABS(AQ22-AP24)/AP24</f>
        <v>0.68400000000000005</v>
      </c>
      <c r="AQ25" s="38"/>
      <c r="AR25" s="29">
        <f>ABS(AS22-AR24)/AR24</f>
        <v>0.68079999999999996</v>
      </c>
      <c r="AS25" s="16"/>
      <c r="AT25" s="2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T26" s="35"/>
      <c r="AX26" s="35"/>
      <c r="AY26" s="35"/>
      <c r="AZ26" s="35"/>
      <c r="BA26" s="35"/>
      <c r="BB26" s="35"/>
      <c r="BC26" s="35"/>
    </row>
    <row r="27" spans="1:132" x14ac:dyDescent="0.25"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132" x14ac:dyDescent="0.25">
      <c r="A29" t="s">
        <v>3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132" x14ac:dyDescent="0.25">
      <c r="A31" t="s">
        <v>24</v>
      </c>
      <c r="V31" s="16"/>
      <c r="W31" s="17"/>
      <c r="X31" s="18"/>
      <c r="Y31" s="60"/>
      <c r="Z31" s="18"/>
      <c r="AA31" s="60"/>
      <c r="AB31" s="18"/>
      <c r="AC31" s="60"/>
      <c r="AD31" s="18"/>
      <c r="AE31" s="60"/>
      <c r="AF31" s="18"/>
      <c r="AG31" s="16"/>
    </row>
    <row r="32" spans="1:132" x14ac:dyDescent="0.25">
      <c r="A32" t="s">
        <v>25</v>
      </c>
      <c r="V32" s="16"/>
      <c r="W32" s="16"/>
      <c r="X32" s="23"/>
      <c r="Y32" s="16"/>
      <c r="Z32" s="23"/>
      <c r="AA32" s="16"/>
      <c r="AB32" s="23"/>
      <c r="AC32" s="16"/>
      <c r="AD32" s="23"/>
      <c r="AE32" s="16"/>
      <c r="AF32" s="23"/>
      <c r="AG32" s="16"/>
    </row>
    <row r="33" spans="1:33" x14ac:dyDescent="0.25">
      <c r="V33" s="16"/>
      <c r="W33" s="16"/>
      <c r="X33" s="38"/>
      <c r="Y33" s="16"/>
      <c r="Z33" s="38"/>
      <c r="AA33" s="16"/>
      <c r="AB33" s="38"/>
      <c r="AC33" s="16"/>
      <c r="AD33" s="23"/>
      <c r="AE33" s="16"/>
      <c r="AF33" s="23"/>
      <c r="AG33" s="16"/>
    </row>
    <row r="34" spans="1:33" x14ac:dyDescent="0.25">
      <c r="A34" t="s">
        <v>23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x14ac:dyDescent="0.25">
      <c r="A35" t="s">
        <v>18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x14ac:dyDescent="0.25">
      <c r="V36" s="16"/>
      <c r="W36" s="19"/>
      <c r="X36" s="16"/>
      <c r="Y36" s="19"/>
      <c r="Z36" s="16"/>
      <c r="AA36" s="19"/>
      <c r="AB36" s="16"/>
      <c r="AC36" s="19"/>
      <c r="AD36" s="16"/>
      <c r="AE36" s="19"/>
      <c r="AF36" s="16"/>
      <c r="AG36" s="16"/>
    </row>
    <row r="37" spans="1:33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1:33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33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</row>
    <row r="40" spans="1:33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33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</row>
    <row r="43" spans="1:33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</row>
    <row r="44" spans="1:33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</row>
    <row r="45" spans="1:33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</row>
    <row r="49" spans="22:33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</row>
    <row r="50" spans="22:33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  <ignoredErrors>
    <ignoredError sqref="AQ11 AO11 AM11 AK11 AK22 AM22 AO22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7" tint="-0.249977111117893"/>
  </sheetPr>
  <dimension ref="A1:T27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252</v>
      </c>
      <c r="K2" s="125" t="s">
        <v>253</v>
      </c>
      <c r="L2" s="125" t="s">
        <v>254</v>
      </c>
      <c r="M2" s="125" t="s">
        <v>249</v>
      </c>
      <c r="N2" s="125" t="s">
        <v>255</v>
      </c>
      <c r="O2" s="125" t="s">
        <v>246</v>
      </c>
      <c r="P2" s="125" t="s">
        <v>247</v>
      </c>
      <c r="Q2" s="125" t="s">
        <v>248</v>
      </c>
      <c r="R2" s="125" t="s">
        <v>250</v>
      </c>
      <c r="S2" s="125" t="s">
        <v>251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0.78</v>
      </c>
      <c r="C4" s="119">
        <v>0.81</v>
      </c>
      <c r="D4" s="119">
        <v>0.81</v>
      </c>
      <c r="E4" s="143">
        <v>0.75</v>
      </c>
      <c r="F4" s="123">
        <v>0.57999999999999996</v>
      </c>
      <c r="G4" s="123">
        <v>0.54</v>
      </c>
      <c r="H4" s="278">
        <v>0.8</v>
      </c>
      <c r="I4" s="123">
        <v>0.74</v>
      </c>
      <c r="J4" s="126">
        <v>0.73</v>
      </c>
      <c r="K4" s="126">
        <v>0.66</v>
      </c>
      <c r="L4" s="126">
        <v>0.8</v>
      </c>
      <c r="M4" s="126">
        <v>0.71</v>
      </c>
      <c r="N4" s="126">
        <v>0.76</v>
      </c>
      <c r="O4" s="126">
        <v>0.83</v>
      </c>
      <c r="P4" s="126">
        <v>0.84</v>
      </c>
      <c r="Q4" s="126">
        <v>0.57999999999999996</v>
      </c>
      <c r="R4" s="126">
        <v>0.69</v>
      </c>
      <c r="S4" s="126">
        <v>0.8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3">
      <c r="A10" s="116" t="s">
        <v>215</v>
      </c>
      <c r="B10" s="154" t="s">
        <v>356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74">
        <v>7.3650000000000002</v>
      </c>
      <c r="L10" s="174">
        <v>4.6400000000000006</v>
      </c>
      <c r="M10" s="174">
        <v>16.91</v>
      </c>
      <c r="N10" s="174">
        <v>26.48</v>
      </c>
      <c r="O10" s="174">
        <v>34.049999999999997</v>
      </c>
      <c r="P10" s="16"/>
      <c r="R10" s="16"/>
      <c r="T10" s="35"/>
    </row>
    <row r="11" spans="1:20" ht="39" customHeight="1" x14ac:dyDescent="0.25">
      <c r="J11" s="81"/>
      <c r="K11" s="75">
        <v>10</v>
      </c>
      <c r="L11" s="75">
        <v>20</v>
      </c>
      <c r="M11" s="75">
        <v>40</v>
      </c>
      <c r="N11" s="75">
        <v>60</v>
      </c>
      <c r="O11" s="96">
        <v>80</v>
      </c>
      <c r="P11" s="85"/>
      <c r="Q11" s="85"/>
      <c r="R11" s="85"/>
      <c r="S11" s="35"/>
      <c r="T11" s="35"/>
    </row>
    <row r="12" spans="1:20" ht="0.75" customHeight="1" x14ac:dyDescent="0.25">
      <c r="B12" s="12" t="s">
        <v>99</v>
      </c>
      <c r="C12" s="12" t="s">
        <v>100</v>
      </c>
      <c r="D12" s="266" t="s">
        <v>103</v>
      </c>
      <c r="E12" s="266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  <c r="S12" s="35"/>
      <c r="T12" s="35"/>
    </row>
    <row r="13" spans="1:20" ht="76.5" customHeight="1" x14ac:dyDescent="0.25">
      <c r="A13" s="116" t="s">
        <v>258</v>
      </c>
      <c r="B13" s="96" t="s">
        <v>261</v>
      </c>
      <c r="C13" s="96" t="s">
        <v>262</v>
      </c>
      <c r="D13" s="253"/>
      <c r="E13" s="253"/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  <c r="S13" s="35"/>
      <c r="T13" s="35"/>
    </row>
    <row r="14" spans="1:20" x14ac:dyDescent="0.25">
      <c r="P14" s="35"/>
      <c r="Q14" s="35"/>
      <c r="R14" s="35"/>
      <c r="S14" s="35"/>
      <c r="T14" s="35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7" tint="-0.249977111117893"/>
  </sheetPr>
  <dimension ref="A2:GS50"/>
  <sheetViews>
    <sheetView zoomScale="70" zoomScaleNormal="70" zoomScaleSheetLayoutView="40" workbookViewId="0">
      <pane xSplit="1" topLeftCell="N1" activePane="topRight" state="frozen"/>
      <selection pane="topRight" activeCell="O12" sqref="O12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0" width="10.7109375" customWidth="1"/>
    <col min="11" max="11" width="13.28515625" customWidth="1"/>
    <col min="12" max="12" width="12.28515625" customWidth="1"/>
    <col min="13" max="13" width="12.85546875" customWidth="1"/>
    <col min="14" max="15" width="12.140625" customWidth="1"/>
    <col min="16" max="16" width="11.7109375" customWidth="1"/>
    <col min="18" max="18" width="11.5703125" customWidth="1"/>
    <col min="20" max="20" width="13.5703125" customWidth="1"/>
    <col min="21" max="21" width="10.85546875" bestFit="1" customWidth="1"/>
    <col min="22" max="22" width="9.42578125" customWidth="1"/>
    <col min="23" max="23" width="9.85546875" customWidth="1"/>
    <col min="24" max="24" width="9" customWidth="1"/>
    <col min="25" max="25" width="8.5703125" customWidth="1"/>
    <col min="26" max="27" width="9.5703125" customWidth="1"/>
    <col min="28" max="28" width="10.5703125" customWidth="1"/>
    <col min="29" max="29" width="9.42578125" customWidth="1"/>
    <col min="30" max="30" width="10.7109375" customWidth="1"/>
    <col min="31" max="31" width="10.5703125" customWidth="1"/>
    <col min="32" max="32" width="13.140625" customWidth="1"/>
    <col min="33" max="33" width="17.85546875" customWidth="1"/>
    <col min="34" max="34" width="12.42578125" customWidth="1"/>
    <col min="35" max="35" width="10.5703125" customWidth="1"/>
    <col min="36" max="36" width="14.28515625" customWidth="1"/>
    <col min="37" max="37" width="10.5703125" customWidth="1"/>
    <col min="38" max="38" width="12.85546875" customWidth="1"/>
    <col min="39" max="41" width="10.5703125" customWidth="1"/>
    <col min="42" max="42" width="12.85546875" customWidth="1"/>
    <col min="43" max="43" width="10.5703125" customWidth="1"/>
    <col min="44" max="44" width="14.5703125" customWidth="1"/>
    <col min="45" max="45" width="10.5703125" customWidth="1"/>
    <col min="46" max="46" width="10.7109375" customWidth="1"/>
    <col min="47" max="51" width="10.5703125" customWidth="1"/>
    <col min="52" max="52" width="13.140625" customWidth="1"/>
    <col min="53" max="53" width="10.5703125" customWidth="1"/>
    <col min="54" max="54" width="14.42578125" customWidth="1"/>
    <col min="55" max="61" width="11.140625" customWidth="1"/>
    <col min="62" max="62" width="12.85546875" customWidth="1"/>
    <col min="63" max="65" width="11.140625" customWidth="1"/>
    <col min="66" max="66" width="11.42578125" customWidth="1"/>
    <col min="67" max="67" width="10.140625" customWidth="1"/>
    <col min="68" max="68" width="11.42578125" customWidth="1"/>
    <col min="69" max="69" width="11.85546875" customWidth="1"/>
    <col min="70" max="70" width="11.28515625" customWidth="1"/>
    <col min="73" max="73" width="9.28515625" customWidth="1"/>
    <col min="74" max="74" width="13.5703125" customWidth="1"/>
    <col min="75" max="75" width="9.28515625" customWidth="1"/>
    <col min="76" max="76" width="13.7109375" customWidth="1"/>
    <col min="77" max="77" width="12.7109375" customWidth="1"/>
    <col min="78" max="78" width="14.42578125" customWidth="1"/>
    <col min="79" max="79" width="12.85546875" customWidth="1"/>
    <col min="81" max="81" width="11.42578125" customWidth="1"/>
    <col min="85" max="85" width="12" customWidth="1"/>
    <col min="87" max="87" width="12" customWidth="1"/>
    <col min="91" max="91" width="12" customWidth="1"/>
    <col min="93" max="93" width="11.85546875" customWidth="1"/>
    <col min="95" max="95" width="11.42578125" customWidth="1"/>
    <col min="97" max="97" width="11.28515625" customWidth="1"/>
    <col min="99" max="99" width="12.7109375" customWidth="1"/>
    <col min="105" max="105" width="8.28515625" customWidth="1"/>
    <col min="107" max="107" width="21.85546875" customWidth="1"/>
    <col min="120" max="120" width="20" customWidth="1"/>
    <col min="159" max="161" width="10.5703125" customWidth="1"/>
  </cols>
  <sheetData>
    <row r="2" spans="1:201" ht="15.75" customHeight="1" x14ac:dyDescent="0.25"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DF2" s="9"/>
    </row>
    <row r="3" spans="1:201" ht="17.25" customHeight="1" x14ac:dyDescent="0.25">
      <c r="A3" t="s">
        <v>226</v>
      </c>
      <c r="R3" s="1"/>
      <c r="T3" s="19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9"/>
      <c r="BR3" s="16"/>
      <c r="BS3" s="19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</row>
    <row r="4" spans="1:201" x14ac:dyDescent="0.25">
      <c r="A4" s="102">
        <v>43976</v>
      </c>
      <c r="R4" s="1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9"/>
      <c r="BR4" s="16"/>
      <c r="BS4" s="19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</row>
    <row r="5" spans="1:201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201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24" t="s">
        <v>31</v>
      </c>
      <c r="I6" s="24" t="s">
        <v>33</v>
      </c>
      <c r="J6" s="17"/>
      <c r="K6" s="50" t="s">
        <v>108</v>
      </c>
      <c r="L6" s="50" t="s">
        <v>109</v>
      </c>
      <c r="M6" s="50" t="s">
        <v>111</v>
      </c>
      <c r="N6" s="50" t="s">
        <v>112</v>
      </c>
      <c r="O6" s="51" t="s">
        <v>265</v>
      </c>
      <c r="P6" s="51" t="s">
        <v>266</v>
      </c>
      <c r="Q6" s="50" t="s">
        <v>30</v>
      </c>
      <c r="R6" s="50" t="s">
        <v>30</v>
      </c>
      <c r="S6" s="17"/>
      <c r="T6" s="18"/>
      <c r="U6" s="24" t="s">
        <v>252</v>
      </c>
      <c r="V6" s="25" t="s">
        <v>16</v>
      </c>
      <c r="W6" s="176" t="s">
        <v>253</v>
      </c>
      <c r="X6" s="177" t="s">
        <v>16</v>
      </c>
      <c r="Y6" s="26" t="s">
        <v>254</v>
      </c>
      <c r="Z6" s="25" t="s">
        <v>16</v>
      </c>
      <c r="AA6" s="26" t="s">
        <v>249</v>
      </c>
      <c r="AB6" s="25" t="s">
        <v>16</v>
      </c>
      <c r="AC6" s="26" t="s">
        <v>255</v>
      </c>
      <c r="AD6" s="25" t="s">
        <v>16</v>
      </c>
      <c r="AE6" s="17"/>
      <c r="AF6" s="27" t="s">
        <v>8</v>
      </c>
      <c r="AG6" s="112"/>
      <c r="AH6" s="166" t="s">
        <v>256</v>
      </c>
      <c r="AI6" s="24"/>
      <c r="AJ6" s="60"/>
      <c r="AO6" s="18"/>
      <c r="AP6" s="60"/>
      <c r="AQ6" s="18"/>
      <c r="AR6" s="17"/>
      <c r="AS6" s="18"/>
      <c r="AT6" s="17"/>
      <c r="AU6" s="18"/>
      <c r="AV6" s="17"/>
      <c r="AW6" s="18"/>
      <c r="AX6" s="17"/>
      <c r="AY6" s="18"/>
      <c r="AZ6" s="17"/>
      <c r="BA6" s="18"/>
      <c r="BB6" s="17"/>
      <c r="BC6" s="18"/>
      <c r="BD6" s="64"/>
      <c r="BE6" s="18"/>
      <c r="BF6" s="64"/>
      <c r="BG6" s="18"/>
      <c r="BH6" s="17"/>
      <c r="BI6" s="63"/>
      <c r="BJ6" s="63"/>
      <c r="BK6" s="17"/>
      <c r="BL6" s="65"/>
      <c r="BM6" s="18"/>
      <c r="BN6" s="64"/>
      <c r="BO6" s="18"/>
      <c r="BP6" s="64"/>
      <c r="BQ6" s="18"/>
      <c r="BR6" s="17"/>
      <c r="BS6" s="63"/>
      <c r="BT6" s="63"/>
      <c r="BU6" s="16"/>
      <c r="BV6" s="65"/>
      <c r="BW6" s="18"/>
      <c r="BX6" s="64"/>
      <c r="BY6" s="18"/>
      <c r="BZ6" s="64"/>
      <c r="CA6" s="18"/>
      <c r="CB6" s="17"/>
      <c r="CC6" s="63"/>
      <c r="CD6" s="63"/>
      <c r="CE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6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Q6" s="4"/>
      <c r="DR6" s="4"/>
      <c r="DS6" s="4"/>
      <c r="DT6" s="4"/>
      <c r="DU6" s="4"/>
      <c r="DV6" s="4"/>
      <c r="DY6" s="4"/>
      <c r="DZ6" s="4"/>
      <c r="EA6" s="4"/>
      <c r="EB6" s="4"/>
      <c r="EC6" s="4"/>
      <c r="ED6" s="4"/>
      <c r="EE6" s="4"/>
      <c r="EF6" s="4"/>
      <c r="EI6" s="4"/>
      <c r="EJ6" s="4"/>
      <c r="EK6" s="4"/>
      <c r="EL6" s="4"/>
      <c r="EM6" s="4"/>
      <c r="EN6" s="4"/>
      <c r="EO6" s="4"/>
      <c r="EP6" s="4"/>
      <c r="EQ6" s="4"/>
      <c r="ER6" s="4"/>
      <c r="ET6" s="4"/>
      <c r="EU6" s="4"/>
      <c r="EV6" s="4"/>
      <c r="EW6" s="4"/>
      <c r="EX6" s="4"/>
      <c r="EY6" s="4"/>
      <c r="EZ6" s="4"/>
      <c r="FA6" s="4"/>
      <c r="FB6" s="4"/>
      <c r="FC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E6" s="4"/>
      <c r="GF6" s="4"/>
      <c r="GG6" s="4"/>
      <c r="GH6" s="4"/>
      <c r="GI6" s="4"/>
      <c r="GJ6" s="4"/>
      <c r="GK6" s="4"/>
      <c r="GL6" s="4"/>
      <c r="GM6" s="4"/>
      <c r="GN6" s="4"/>
      <c r="GP6" s="4"/>
    </row>
    <row r="7" spans="1:201" ht="15.75" x14ac:dyDescent="0.25">
      <c r="A7" t="s">
        <v>5</v>
      </c>
      <c r="B7" s="12" t="s">
        <v>159</v>
      </c>
      <c r="C7" s="29" t="e">
        <f>B7/AVERAGE($L7,#REF!)</f>
        <v>#VALUE!</v>
      </c>
      <c r="D7" s="12" t="s">
        <v>159</v>
      </c>
      <c r="E7" s="29" t="e">
        <f>D7/AVERAGE($L7,#REF!)</f>
        <v>#VALUE!</v>
      </c>
      <c r="F7" s="12" t="s">
        <v>158</v>
      </c>
      <c r="G7" s="29" t="e">
        <f>F7/AVERAGE($L7,#REF!)</f>
        <v>#VALUE!</v>
      </c>
      <c r="H7" s="12" t="e">
        <f>AVERAGE(B7,D7,F7)</f>
        <v>#DIV/0!</v>
      </c>
      <c r="I7" s="30" t="e">
        <f>STDEV(B7,D7,F7)/H7</f>
        <v>#DIV/0!</v>
      </c>
      <c r="J7" s="19"/>
      <c r="K7" s="12" t="s">
        <v>158</v>
      </c>
      <c r="L7" s="12" t="s">
        <v>159</v>
      </c>
      <c r="M7" s="12" t="s">
        <v>158</v>
      </c>
      <c r="N7" s="12" t="s">
        <v>158</v>
      </c>
      <c r="O7" s="53" t="e">
        <f>AVERAGE(L7,K7)</f>
        <v>#DIV/0!</v>
      </c>
      <c r="P7" s="53" t="e">
        <f>AVERAGE(M7,N7)</f>
        <v>#DIV/0!</v>
      </c>
      <c r="Q7" s="54" t="e">
        <f>ABS(K7-L7)/AVERAGE(K7,L7)</f>
        <v>#VALUE!</v>
      </c>
      <c r="R7" s="54" t="e">
        <f>ABS(M7-N7)/AVERAGE(N7,M7)</f>
        <v>#VALUE!</v>
      </c>
      <c r="S7" s="38"/>
      <c r="T7" s="16"/>
      <c r="U7" s="12" t="s">
        <v>159</v>
      </c>
      <c r="V7" s="29" t="e">
        <f>U7/AVERAGE($L7,#REF!)</f>
        <v>#VALUE!</v>
      </c>
      <c r="W7" s="178" t="s">
        <v>158</v>
      </c>
      <c r="X7" s="179"/>
      <c r="Y7" s="12" t="s">
        <v>159</v>
      </c>
      <c r="Z7" s="29" t="e">
        <f>Y7/AVERAGE($L7,#REF!)</f>
        <v>#VALUE!</v>
      </c>
      <c r="AA7" s="12" t="s">
        <v>158</v>
      </c>
      <c r="AB7" s="29" t="e">
        <f>AA7/AVERAGE($L7,#REF!)</f>
        <v>#VALUE!</v>
      </c>
      <c r="AC7" s="12" t="s">
        <v>158</v>
      </c>
      <c r="AD7" s="168" t="e">
        <f>AC7/AVERAGE($L7,#REF!)</f>
        <v>#VALUE!</v>
      </c>
      <c r="AE7" s="16"/>
      <c r="AF7" s="12" t="s">
        <v>158</v>
      </c>
      <c r="AG7" s="168" t="e">
        <f>AF7/AVERAGE($K7,$L7)</f>
        <v>#VALUE!</v>
      </c>
      <c r="AH7" s="12" t="s">
        <v>159</v>
      </c>
      <c r="AI7" s="29" t="e">
        <f>AH7/AVERAGE($K7,$L7)</f>
        <v>#VALUE!</v>
      </c>
      <c r="AJ7" s="16"/>
      <c r="AO7" s="23"/>
      <c r="AP7" s="16"/>
      <c r="AQ7" s="23"/>
      <c r="AR7" s="43"/>
      <c r="AS7" s="16"/>
      <c r="AT7" s="23"/>
      <c r="AU7" s="16"/>
      <c r="AV7" s="23"/>
      <c r="AW7" s="16"/>
      <c r="AX7" s="23"/>
      <c r="AY7" s="16"/>
      <c r="AZ7" s="23"/>
      <c r="BA7" s="16"/>
      <c r="BB7" s="23"/>
      <c r="BC7" s="23"/>
      <c r="BD7" s="16"/>
      <c r="BE7" s="23"/>
      <c r="BF7" s="16"/>
      <c r="BG7" s="23"/>
      <c r="BH7" s="23"/>
      <c r="BI7" s="16"/>
      <c r="BJ7" s="38"/>
      <c r="BK7" s="16"/>
      <c r="BL7" s="43"/>
      <c r="BM7" s="23"/>
      <c r="BN7" s="16"/>
      <c r="BO7" s="23"/>
      <c r="BP7" s="16"/>
      <c r="BQ7" s="23"/>
      <c r="BR7" s="23"/>
      <c r="BS7" s="16"/>
      <c r="BT7" s="38"/>
      <c r="BU7" s="20"/>
      <c r="BV7" s="43"/>
      <c r="BW7" s="23"/>
      <c r="BX7" s="16"/>
      <c r="BY7" s="23"/>
      <c r="BZ7" s="16"/>
      <c r="CA7" s="23"/>
      <c r="CB7" s="23"/>
      <c r="CC7" s="16"/>
      <c r="CD7" s="38"/>
      <c r="CE7" s="16"/>
      <c r="CJ7" s="20"/>
      <c r="CK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9"/>
      <c r="CX7" s="19"/>
      <c r="CY7" s="19"/>
      <c r="CZ7" s="19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5"/>
      <c r="EV7" s="8"/>
      <c r="EX7" s="8"/>
      <c r="EZ7" s="8"/>
      <c r="FB7" s="1"/>
      <c r="FC7" s="8"/>
      <c r="FD7" s="2"/>
      <c r="FE7" s="5"/>
      <c r="FG7" s="8"/>
      <c r="FI7" s="8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</row>
    <row r="8" spans="1:201" ht="15.75" x14ac:dyDescent="0.25">
      <c r="A8" t="s">
        <v>9</v>
      </c>
      <c r="B8" s="12">
        <v>34.43</v>
      </c>
      <c r="C8" s="30">
        <f>B8/O8</f>
        <v>0.77895927601809944</v>
      </c>
      <c r="D8" s="12">
        <v>35.82</v>
      </c>
      <c r="E8" s="30">
        <f>D8/O8</f>
        <v>0.81040723981900453</v>
      </c>
      <c r="F8" s="12">
        <v>35.82</v>
      </c>
      <c r="G8" s="30">
        <f>F8/O8</f>
        <v>0.81040723981900453</v>
      </c>
      <c r="H8" s="274">
        <f>AVERAGE(B8,D8,F8)</f>
        <v>35.356666666666662</v>
      </c>
      <c r="I8" s="30">
        <f>STDEV(B8,D8,F8)/H8</f>
        <v>2.2697752639961731E-2</v>
      </c>
      <c r="J8" s="19"/>
      <c r="K8" s="12">
        <v>44.68</v>
      </c>
      <c r="L8" s="12">
        <v>43.72</v>
      </c>
      <c r="M8" s="12">
        <v>38.659999999999997</v>
      </c>
      <c r="N8" s="12">
        <v>36.36</v>
      </c>
      <c r="O8" s="53">
        <f>AVERAGE(L8,K8)</f>
        <v>44.2</v>
      </c>
      <c r="P8" s="53">
        <f>AVERAGE(M8,N8)</f>
        <v>37.51</v>
      </c>
      <c r="Q8" s="54">
        <f>ABS(K8-L8)/AVERAGE(K8,L8)</f>
        <v>2.1719457013574677E-2</v>
      </c>
      <c r="R8" s="54">
        <f>ABS(M8-N8)/AVERAGE(N8,M8)</f>
        <v>6.1316982138096436E-2</v>
      </c>
      <c r="S8" s="38"/>
      <c r="T8" s="16"/>
      <c r="U8" s="12">
        <v>64.34</v>
      </c>
      <c r="V8" s="30">
        <f>(U8/2)/AVERAGE($O$8)</f>
        <v>0.7278280542986425</v>
      </c>
      <c r="W8" s="178">
        <v>58.51</v>
      </c>
      <c r="X8" s="180">
        <f>(W8/2)/AVERAGE($O$8)</f>
        <v>0.66187782805429862</v>
      </c>
      <c r="Y8" s="12">
        <v>70.760000000000005</v>
      </c>
      <c r="Z8" s="30">
        <f>(Y8/2)/AVERAGE($O$8)</f>
        <v>0.80045248868778285</v>
      </c>
      <c r="AA8" s="12">
        <v>62.54</v>
      </c>
      <c r="AB8" s="30">
        <f>(AA8/2)/AVERAGE($O$8)</f>
        <v>0.70746606334841622</v>
      </c>
      <c r="AC8" s="12">
        <v>67.3</v>
      </c>
      <c r="AD8" s="30">
        <f>(AC8/2)/AVERAGE($O$8)</f>
        <v>0.7613122171945701</v>
      </c>
      <c r="AE8" s="16"/>
      <c r="AF8" s="12">
        <v>35.44</v>
      </c>
      <c r="AG8" s="169">
        <f>AF8/$O$8</f>
        <v>0.80180995475113115</v>
      </c>
      <c r="AH8" s="12">
        <v>27.86</v>
      </c>
      <c r="AI8" s="30">
        <f>AH8/$P$8</f>
        <v>0.74273527059450817</v>
      </c>
      <c r="AJ8" s="16"/>
      <c r="AO8" s="38"/>
      <c r="AP8" s="16"/>
      <c r="AQ8" s="38"/>
      <c r="AR8" s="43"/>
      <c r="AS8" s="16"/>
      <c r="AT8" s="38"/>
      <c r="AU8" s="16"/>
      <c r="AV8" s="38"/>
      <c r="AW8" s="16"/>
      <c r="AX8" s="38"/>
      <c r="AY8" s="16"/>
      <c r="AZ8" s="38"/>
      <c r="BA8" s="16"/>
      <c r="BB8" s="38"/>
      <c r="BC8" s="38"/>
      <c r="BD8" s="16"/>
      <c r="BE8" s="38"/>
      <c r="BF8" s="16"/>
      <c r="BG8" s="38"/>
      <c r="BH8" s="38"/>
      <c r="BI8" s="16"/>
      <c r="BJ8" s="38"/>
      <c r="BK8" s="16"/>
      <c r="BL8" s="43"/>
      <c r="BM8" s="23"/>
      <c r="BN8" s="16"/>
      <c r="BO8" s="23"/>
      <c r="BP8" s="16"/>
      <c r="BQ8" s="23"/>
      <c r="BR8" s="38"/>
      <c r="BS8" s="16"/>
      <c r="BT8" s="38"/>
      <c r="BU8" s="20"/>
      <c r="BV8" s="43"/>
      <c r="BW8" s="23"/>
      <c r="BX8" s="16"/>
      <c r="BY8" s="23"/>
      <c r="BZ8" s="16"/>
      <c r="CA8" s="23"/>
      <c r="CB8" s="38"/>
      <c r="CC8" s="16"/>
      <c r="CD8" s="38"/>
      <c r="CE8" s="16"/>
      <c r="CJ8" s="20"/>
      <c r="CK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9"/>
      <c r="CX8" s="19"/>
      <c r="CY8" s="19"/>
      <c r="CZ8" s="19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5"/>
      <c r="EV8" s="8"/>
      <c r="EX8" s="8"/>
      <c r="EZ8" s="8"/>
      <c r="FB8" s="1"/>
      <c r="FC8" s="8"/>
      <c r="FD8" s="2"/>
      <c r="FE8" s="5"/>
      <c r="FG8" s="8"/>
      <c r="FI8" s="8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</row>
    <row r="9" spans="1:201" ht="15.75" x14ac:dyDescent="0.25">
      <c r="A9" t="s">
        <v>7</v>
      </c>
      <c r="B9" s="12">
        <v>13.27</v>
      </c>
      <c r="C9" s="30">
        <f>B9/O9</f>
        <v>0.89541160593792168</v>
      </c>
      <c r="D9" s="12">
        <v>11.8</v>
      </c>
      <c r="E9" s="30">
        <f>D9/O9</f>
        <v>0.79622132253711209</v>
      </c>
      <c r="F9" s="12">
        <v>11.6</v>
      </c>
      <c r="G9" s="30">
        <f>F9/O9</f>
        <v>0.78272604588394057</v>
      </c>
      <c r="H9" s="274">
        <f>AVERAGE(B9,D9,F9)</f>
        <v>12.223333333333334</v>
      </c>
      <c r="I9" s="30">
        <f>STDEV(B9,D9,F9)/H9</f>
        <v>7.4606435135020632E-2</v>
      </c>
      <c r="J9" s="16"/>
      <c r="K9" s="12">
        <v>12.99</v>
      </c>
      <c r="L9" s="12">
        <v>16.649999999999999</v>
      </c>
      <c r="M9" s="12">
        <v>8.7799999999999994</v>
      </c>
      <c r="N9" s="12">
        <v>9</v>
      </c>
      <c r="O9" s="53">
        <f>AVERAGE(L9,K9)</f>
        <v>14.82</v>
      </c>
      <c r="P9" s="53">
        <f>AVERAGE(M9,N9)</f>
        <v>8.89</v>
      </c>
      <c r="Q9" s="54">
        <f>ABS(K9-L9)/AVERAGE(K9,L9)</f>
        <v>0.24696356275303633</v>
      </c>
      <c r="R9" s="54">
        <f>ABS(M9-N9)/AVERAGE(N9,M9)</f>
        <v>2.4746906636670486E-2</v>
      </c>
      <c r="S9" s="38"/>
      <c r="T9" s="16"/>
      <c r="U9" s="12">
        <v>4.68</v>
      </c>
      <c r="V9" s="12">
        <f>U9</f>
        <v>4.68</v>
      </c>
      <c r="W9" s="178">
        <v>2.33</v>
      </c>
      <c r="X9" s="178">
        <v>2.33</v>
      </c>
      <c r="Y9" s="12">
        <v>9.58</v>
      </c>
      <c r="Z9" s="12">
        <v>9.58</v>
      </c>
      <c r="AA9" s="12">
        <v>15.37</v>
      </c>
      <c r="AB9" s="12">
        <v>15.37</v>
      </c>
      <c r="AC9" s="12">
        <v>18.21</v>
      </c>
      <c r="AD9" s="12">
        <v>18.21</v>
      </c>
      <c r="AE9" s="16"/>
      <c r="AF9" s="12" t="s">
        <v>158</v>
      </c>
      <c r="AG9" s="113"/>
      <c r="AH9" s="12" t="s">
        <v>159</v>
      </c>
      <c r="AI9" s="12"/>
      <c r="AJ9" s="16"/>
      <c r="AO9" s="16"/>
      <c r="AP9" s="16"/>
      <c r="AQ9" s="16"/>
      <c r="AR9" s="45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38"/>
      <c r="BI9" s="16"/>
      <c r="BJ9" s="38"/>
      <c r="BK9" s="16"/>
      <c r="BL9" s="43"/>
      <c r="BM9" s="16"/>
      <c r="BN9" s="16"/>
      <c r="BO9" s="16"/>
      <c r="BP9" s="16"/>
      <c r="BQ9" s="16"/>
      <c r="BR9" s="38"/>
      <c r="BS9" s="16"/>
      <c r="BT9" s="38"/>
      <c r="BU9" s="20"/>
      <c r="BV9" s="43"/>
      <c r="BW9" s="16"/>
      <c r="BX9" s="16"/>
      <c r="BY9" s="16"/>
      <c r="BZ9" s="16"/>
      <c r="CA9" s="16"/>
      <c r="CB9" s="38"/>
      <c r="CC9" s="16"/>
      <c r="CD9" s="38"/>
      <c r="CE9" s="16"/>
      <c r="CJ9" s="19"/>
      <c r="CK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46"/>
      <c r="CX9" s="16"/>
      <c r="CY9" s="46"/>
      <c r="CZ9" s="45"/>
      <c r="DA9" s="2"/>
      <c r="DB9" s="2"/>
      <c r="DF9" s="6"/>
      <c r="DG9" s="2"/>
      <c r="DI9" s="8"/>
      <c r="DK9" s="8"/>
      <c r="DL9" s="8"/>
      <c r="DM9" s="8"/>
      <c r="DN9" s="8"/>
      <c r="DO9" s="8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5"/>
      <c r="EB9" s="1"/>
      <c r="ED9" s="1"/>
      <c r="EF9" s="1"/>
      <c r="EG9" s="1"/>
      <c r="EH9" s="2"/>
      <c r="EI9" s="2"/>
      <c r="EK9" s="7"/>
      <c r="EM9" s="7"/>
      <c r="EO9" s="7"/>
      <c r="EQ9" s="7"/>
      <c r="ER9" s="7"/>
      <c r="ES9" s="7"/>
      <c r="ET9" s="7"/>
      <c r="EV9" s="7"/>
      <c r="EX9" s="7"/>
      <c r="EZ9" s="7"/>
      <c r="FB9" s="7"/>
      <c r="FC9" s="7"/>
      <c r="FD9" s="7"/>
      <c r="FE9" s="7"/>
      <c r="FG9" s="7"/>
      <c r="FI9" s="7"/>
      <c r="FK9" s="7"/>
      <c r="FM9" s="7"/>
      <c r="FO9" s="7"/>
      <c r="FP9" s="7"/>
      <c r="FQ9" s="7"/>
      <c r="FR9" s="7"/>
      <c r="FT9" s="7"/>
      <c r="FV9" s="7"/>
      <c r="FX9" s="7"/>
      <c r="FZ9" s="7"/>
      <c r="GB9" s="7"/>
      <c r="GC9" s="7"/>
      <c r="GD9" s="7"/>
      <c r="GE9" s="7"/>
      <c r="GG9" s="7"/>
      <c r="GI9" s="7"/>
      <c r="GK9" s="7"/>
      <c r="GM9" s="7"/>
      <c r="GN9" s="2"/>
      <c r="GO9" s="2"/>
      <c r="GP9" s="2"/>
    </row>
    <row r="10" spans="1:201" ht="15.75" x14ac:dyDescent="0.25">
      <c r="A10" t="s">
        <v>6</v>
      </c>
      <c r="B10" s="12">
        <v>29.44</v>
      </c>
      <c r="C10" s="30">
        <f>B10/O10</f>
        <v>0.91913830783640338</v>
      </c>
      <c r="D10" s="12">
        <v>25.81</v>
      </c>
      <c r="E10" s="30">
        <f>D10/O10</f>
        <v>0.80580705588510759</v>
      </c>
      <c r="F10" s="12">
        <v>23.47</v>
      </c>
      <c r="G10" s="30">
        <f>F10/O10</f>
        <v>0.7327505463627848</v>
      </c>
      <c r="H10" s="12">
        <f>AVERAGE(B10,D10,F10)</f>
        <v>26.24</v>
      </c>
      <c r="I10" s="30">
        <f>STDEV(B10,D10,F10)/H10</f>
        <v>0.11463944205625858</v>
      </c>
      <c r="J10" s="16"/>
      <c r="K10" s="12">
        <v>29.79</v>
      </c>
      <c r="L10" s="12">
        <v>34.270000000000003</v>
      </c>
      <c r="M10" s="12">
        <v>20.59</v>
      </c>
      <c r="N10" s="12">
        <v>20.8</v>
      </c>
      <c r="O10" s="53">
        <f>AVERAGE(L10,K10)</f>
        <v>32.03</v>
      </c>
      <c r="P10" s="141">
        <f>AVERAGE(M10,N10)</f>
        <v>20.695</v>
      </c>
      <c r="Q10" s="54">
        <f>ABS(K10-L10)/AVERAGE(K10,L10)</f>
        <v>0.13986887293162673</v>
      </c>
      <c r="R10" s="54">
        <f>ABS(M10-N10)/AVERAGE(N10,M10)</f>
        <v>1.0147378593863294E-2</v>
      </c>
      <c r="S10" s="38"/>
      <c r="T10" s="16"/>
      <c r="U10" s="12">
        <v>4.91</v>
      </c>
      <c r="V10" s="12">
        <f>U10</f>
        <v>4.91</v>
      </c>
      <c r="W10" s="178">
        <v>2.31</v>
      </c>
      <c r="X10" s="178">
        <v>2.31</v>
      </c>
      <c r="Y10" s="12">
        <v>18.36</v>
      </c>
      <c r="Z10" s="12">
        <v>18.36</v>
      </c>
      <c r="AA10" s="12">
        <v>28.92</v>
      </c>
      <c r="AB10" s="12">
        <v>28.92</v>
      </c>
      <c r="AC10" s="12">
        <v>31.77</v>
      </c>
      <c r="AD10" s="12">
        <v>31.77</v>
      </c>
      <c r="AE10" s="16"/>
      <c r="AF10" s="12" t="s">
        <v>158</v>
      </c>
      <c r="AG10" s="113"/>
      <c r="AH10" s="12" t="s">
        <v>159</v>
      </c>
      <c r="AI10" s="12"/>
      <c r="AJ10" s="16"/>
      <c r="AO10" s="16"/>
      <c r="AP10" s="16"/>
      <c r="AQ10" s="16"/>
      <c r="AR10" s="45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38"/>
      <c r="BI10" s="16"/>
      <c r="BJ10" s="38"/>
      <c r="BK10" s="16"/>
      <c r="BL10" s="43"/>
      <c r="BM10" s="16"/>
      <c r="BN10" s="16"/>
      <c r="BO10" s="16"/>
      <c r="BP10" s="16"/>
      <c r="BQ10" s="16"/>
      <c r="BR10" s="38"/>
      <c r="BS10" s="16"/>
      <c r="BT10" s="38"/>
      <c r="BU10" s="20"/>
      <c r="BV10" s="43"/>
      <c r="BW10" s="16"/>
      <c r="BX10" s="16"/>
      <c r="BY10" s="16"/>
      <c r="BZ10" s="16"/>
      <c r="CA10" s="16"/>
      <c r="CB10" s="38"/>
      <c r="CC10" s="16"/>
      <c r="CD10" s="38"/>
      <c r="CE10" s="16"/>
      <c r="CJ10" s="19"/>
      <c r="CK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46"/>
      <c r="CX10" s="16"/>
      <c r="CY10" s="46"/>
      <c r="CZ10" s="45"/>
      <c r="DA10" s="2"/>
      <c r="DB10" s="2"/>
      <c r="DE10" s="1"/>
      <c r="DF10" s="6"/>
      <c r="DG10" s="2"/>
      <c r="DI10" s="8"/>
      <c r="DK10" s="8"/>
      <c r="DL10" s="8"/>
      <c r="DM10" s="8"/>
      <c r="DN10" s="8"/>
      <c r="DO10" s="8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5"/>
      <c r="EB10" s="1"/>
      <c r="ED10" s="1"/>
      <c r="EF10" s="1"/>
      <c r="EG10" s="1"/>
      <c r="EH10" s="2"/>
      <c r="EI10" s="2"/>
      <c r="EK10" s="7"/>
      <c r="EM10" s="7"/>
      <c r="EO10" s="7"/>
      <c r="EQ10" s="7"/>
      <c r="ER10" s="7"/>
      <c r="ES10" s="7"/>
      <c r="ET10" s="7"/>
      <c r="EV10" s="7"/>
      <c r="EX10" s="7"/>
      <c r="EZ10" s="7"/>
      <c r="FB10" s="7"/>
      <c r="FC10" s="7"/>
      <c r="FD10" s="7"/>
      <c r="FE10" s="7"/>
      <c r="FG10" s="7"/>
      <c r="FI10" s="7"/>
      <c r="FK10" s="7"/>
      <c r="FM10" s="7"/>
      <c r="FO10" s="7"/>
      <c r="FP10" s="7"/>
      <c r="FQ10" s="7"/>
      <c r="FR10" s="7"/>
      <c r="FT10" s="7"/>
      <c r="FV10" s="7"/>
      <c r="FX10" s="7"/>
      <c r="FZ10" s="7"/>
      <c r="GB10" s="7"/>
      <c r="GC10" s="7"/>
      <c r="GD10" s="7"/>
      <c r="GE10" s="7"/>
      <c r="GG10" s="7"/>
      <c r="GI10" s="7"/>
      <c r="GK10" s="7"/>
      <c r="GM10" s="7"/>
      <c r="GN10" s="2"/>
      <c r="GO10" s="2"/>
      <c r="GP10" s="2"/>
    </row>
    <row r="11" spans="1:201" ht="15.75" x14ac:dyDescent="0.25">
      <c r="A11" t="s">
        <v>17</v>
      </c>
      <c r="B11" s="52">
        <f>SUM(B9,B10)</f>
        <v>42.71</v>
      </c>
      <c r="C11" s="30">
        <f>B11/O11</f>
        <v>0.91163287086446099</v>
      </c>
      <c r="D11" s="52">
        <f>SUM(D9,D10)</f>
        <v>37.61</v>
      </c>
      <c r="E11" s="30">
        <f>D11/O11</f>
        <v>0.80277481323372457</v>
      </c>
      <c r="F11" s="52">
        <f>SUM(F9,F10)</f>
        <v>35.07</v>
      </c>
      <c r="G11" s="30">
        <f>F11/O11</f>
        <v>0.74855923159018145</v>
      </c>
      <c r="H11" s="12">
        <f>AVERAGE(B11,D11)</f>
        <v>40.159999999999997</v>
      </c>
      <c r="I11" s="30">
        <f>STDEV(B11,D11,F11)/H11</f>
        <v>9.6883137916534787E-2</v>
      </c>
      <c r="J11" s="19"/>
      <c r="K11" s="136">
        <f>SUM(K9,K10)</f>
        <v>42.78</v>
      </c>
      <c r="L11" s="136">
        <f>SUM(L9,L10)</f>
        <v>50.92</v>
      </c>
      <c r="M11" s="136">
        <f>SUM(M9,M10)</f>
        <v>29.369999999999997</v>
      </c>
      <c r="N11" s="12">
        <f>SUM(N9,N10)</f>
        <v>29.8</v>
      </c>
      <c r="O11" s="53">
        <f>AVERAGE(L11,K11)</f>
        <v>46.85</v>
      </c>
      <c r="P11" s="141">
        <f>AVERAGE(M11,N11)</f>
        <v>29.585000000000001</v>
      </c>
      <c r="Q11" s="54">
        <f>ABS(K11-L11)/AVERAGE(K11,L11)</f>
        <v>0.1737459978655283</v>
      </c>
      <c r="R11" s="54">
        <f>ABS(M11-N11)/AVERAGE(N11,M11)</f>
        <v>1.4534392428595682E-2</v>
      </c>
      <c r="S11" s="38"/>
      <c r="T11" s="16"/>
      <c r="U11" s="13">
        <f t="shared" ref="U11:AD11" si="0">SUM(U9,U10)</f>
        <v>9.59</v>
      </c>
      <c r="V11" s="12">
        <f t="shared" si="0"/>
        <v>9.59</v>
      </c>
      <c r="W11" s="181">
        <f t="shared" si="0"/>
        <v>4.6400000000000006</v>
      </c>
      <c r="X11" s="178">
        <f t="shared" si="0"/>
        <v>4.6400000000000006</v>
      </c>
      <c r="Y11" s="13">
        <f t="shared" si="0"/>
        <v>27.939999999999998</v>
      </c>
      <c r="Z11" s="12">
        <f t="shared" si="0"/>
        <v>27.939999999999998</v>
      </c>
      <c r="AA11" s="13">
        <f t="shared" si="0"/>
        <v>44.29</v>
      </c>
      <c r="AB11" s="13">
        <f t="shared" si="0"/>
        <v>44.29</v>
      </c>
      <c r="AC11" s="13">
        <f t="shared" si="0"/>
        <v>49.980000000000004</v>
      </c>
      <c r="AD11" s="113">
        <f t="shared" si="0"/>
        <v>49.980000000000004</v>
      </c>
      <c r="AE11" s="16"/>
      <c r="AF11" s="12"/>
      <c r="AG11" s="113"/>
      <c r="AH11" s="12"/>
      <c r="AI11" s="12"/>
      <c r="AJ11" s="16"/>
      <c r="AO11" s="16"/>
      <c r="AP11" s="19"/>
      <c r="AQ11" s="16"/>
      <c r="AR11" s="45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9"/>
      <c r="BE11" s="16"/>
      <c r="BF11" s="19"/>
      <c r="BG11" s="16"/>
      <c r="BH11" s="38"/>
      <c r="BI11" s="16"/>
      <c r="BJ11" s="38"/>
      <c r="BK11" s="19"/>
      <c r="BL11" s="19"/>
      <c r="BM11" s="16"/>
      <c r="BN11" s="19"/>
      <c r="BO11" s="16"/>
      <c r="BP11" s="19"/>
      <c r="BQ11" s="16"/>
      <c r="BR11" s="38"/>
      <c r="BS11" s="16"/>
      <c r="BT11" s="38"/>
      <c r="BU11" s="20"/>
      <c r="BV11" s="19"/>
      <c r="BW11" s="16"/>
      <c r="BX11" s="19"/>
      <c r="BY11" s="16"/>
      <c r="BZ11" s="19"/>
      <c r="CA11" s="16"/>
      <c r="CB11" s="38"/>
      <c r="CC11" s="16"/>
      <c r="CD11" s="38"/>
      <c r="CE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46"/>
      <c r="CX11" s="16"/>
      <c r="CY11" s="46"/>
      <c r="CZ11" s="45"/>
      <c r="DA11" s="2"/>
      <c r="DB11" s="2"/>
      <c r="DE11" s="1"/>
      <c r="DF11" s="6"/>
      <c r="DG11" s="2"/>
      <c r="DI11" s="8"/>
      <c r="DK11" s="8"/>
      <c r="DL11" s="8"/>
      <c r="DM11" s="8"/>
      <c r="DN11" s="8"/>
      <c r="DO11" s="8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5"/>
      <c r="EB11" s="1"/>
      <c r="ED11" s="1"/>
      <c r="EF11" s="1"/>
      <c r="EG11" s="1"/>
      <c r="EH11" s="2"/>
      <c r="EI11" s="2"/>
      <c r="EK11" s="7"/>
      <c r="EM11" s="7"/>
      <c r="EO11" s="7"/>
      <c r="EQ11" s="7"/>
      <c r="ER11" s="7"/>
      <c r="ES11" s="7"/>
      <c r="ET11" s="7"/>
      <c r="EV11" s="7"/>
      <c r="EX11" s="7"/>
      <c r="EZ11" s="7"/>
      <c r="FB11" s="7"/>
      <c r="FC11" s="7"/>
      <c r="FD11" s="7"/>
      <c r="FE11" s="7"/>
      <c r="FG11" s="7"/>
      <c r="FI11" s="7"/>
      <c r="FK11" s="7"/>
      <c r="FM11" s="7"/>
      <c r="FO11" s="7"/>
      <c r="FP11" s="7"/>
      <c r="FQ11" s="7"/>
      <c r="FR11" s="7"/>
      <c r="FT11" s="7"/>
      <c r="FV11" s="7"/>
      <c r="FX11" s="7"/>
      <c r="FZ11" s="7"/>
      <c r="GB11" s="7"/>
      <c r="GC11" s="7"/>
      <c r="GD11" s="7"/>
      <c r="GE11" s="7"/>
      <c r="GG11" s="7"/>
      <c r="GI11" s="7"/>
      <c r="GK11" s="7"/>
      <c r="GM11" s="7"/>
      <c r="GN11" s="2"/>
      <c r="GO11" s="2"/>
      <c r="GP11" s="2"/>
    </row>
    <row r="12" spans="1:201" ht="15.75" x14ac:dyDescent="0.25">
      <c r="A12" t="s">
        <v>10</v>
      </c>
      <c r="B12" s="31"/>
      <c r="C12" s="31"/>
      <c r="D12" s="31"/>
      <c r="E12" s="31"/>
      <c r="F12" s="31"/>
      <c r="G12" s="31"/>
      <c r="H12" s="31"/>
      <c r="I12" s="31"/>
      <c r="J12" s="37"/>
      <c r="K12" s="55">
        <f t="shared" ref="K12:P12" si="1">(K8+K11)/2</f>
        <v>43.730000000000004</v>
      </c>
      <c r="L12" s="55">
        <f t="shared" si="1"/>
        <v>47.32</v>
      </c>
      <c r="M12" s="55">
        <f t="shared" si="1"/>
        <v>34.015000000000001</v>
      </c>
      <c r="N12" s="55">
        <f t="shared" si="1"/>
        <v>33.08</v>
      </c>
      <c r="O12" s="275">
        <f>(O8+O11)/2</f>
        <v>45.525000000000006</v>
      </c>
      <c r="P12" s="275">
        <f t="shared" si="1"/>
        <v>33.547499999999999</v>
      </c>
      <c r="Q12" s="55"/>
      <c r="R12" s="55"/>
      <c r="S12" s="37"/>
      <c r="T12" s="19"/>
      <c r="U12" s="31"/>
      <c r="V12" s="31">
        <f>V11/U13</f>
        <v>0.95899999999999996</v>
      </c>
      <c r="W12" s="182"/>
      <c r="X12" s="182">
        <f>X11/W13</f>
        <v>0.23200000000000004</v>
      </c>
      <c r="Y12" s="31"/>
      <c r="Z12" s="31">
        <f>Z11/Y13</f>
        <v>0.6984999999999999</v>
      </c>
      <c r="AA12" s="31"/>
      <c r="AB12" s="31">
        <f>AB11/AA13</f>
        <v>0.73816666666666664</v>
      </c>
      <c r="AC12" s="31"/>
      <c r="AD12" s="31">
        <f>AD11/AC13</f>
        <v>0.62475000000000003</v>
      </c>
      <c r="AE12" s="21"/>
      <c r="AF12" s="31"/>
      <c r="AG12" s="114"/>
      <c r="AH12" s="164"/>
      <c r="AI12" s="31"/>
      <c r="AJ12" s="21"/>
      <c r="AO12" s="73"/>
      <c r="AP12" s="21"/>
      <c r="AQ12" s="73"/>
      <c r="AR12" s="45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66"/>
      <c r="BD12" s="66"/>
      <c r="BE12" s="66"/>
      <c r="BF12" s="66"/>
      <c r="BG12" s="66"/>
      <c r="BH12" s="21"/>
      <c r="BI12" s="66"/>
      <c r="BJ12" s="66"/>
      <c r="BK12" s="21"/>
      <c r="BL12" s="66"/>
      <c r="BM12" s="66"/>
      <c r="BN12" s="66"/>
      <c r="BO12" s="66"/>
      <c r="BP12" s="66"/>
      <c r="BQ12" s="66"/>
      <c r="BR12" s="21"/>
      <c r="BS12" s="66"/>
      <c r="BT12" s="66"/>
      <c r="BU12" s="16"/>
      <c r="BV12" s="66"/>
      <c r="BW12" s="66"/>
      <c r="BX12" s="66"/>
      <c r="BY12" s="66"/>
      <c r="BZ12" s="66"/>
      <c r="CA12" s="66"/>
      <c r="CB12" s="21"/>
      <c r="CC12" s="66"/>
      <c r="CD12" s="66"/>
      <c r="CE12" s="16"/>
      <c r="CJ12" s="20"/>
      <c r="CK12" s="19"/>
      <c r="CL12" s="20"/>
      <c r="CM12" s="16"/>
      <c r="CN12" s="20"/>
      <c r="CO12" s="16"/>
      <c r="CP12" s="20"/>
      <c r="CQ12" s="16"/>
      <c r="CR12" s="20"/>
      <c r="CS12" s="19"/>
      <c r="CT12" s="20"/>
      <c r="CU12" s="16"/>
      <c r="CV12" s="20"/>
      <c r="CW12" s="16"/>
      <c r="CX12" s="16"/>
      <c r="CY12" s="16"/>
      <c r="CZ12" s="16"/>
      <c r="DF12" s="6"/>
      <c r="DG12" s="2"/>
      <c r="DI12" s="8"/>
      <c r="DK12" s="8"/>
      <c r="DL12" s="8"/>
      <c r="DM12" s="8"/>
      <c r="DN12" s="8"/>
      <c r="DO12" s="8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M12" s="5"/>
      <c r="EW12" s="2"/>
    </row>
    <row r="13" spans="1:201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32"/>
      <c r="I13" s="32"/>
      <c r="J13" s="37"/>
      <c r="K13" s="55">
        <v>40</v>
      </c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/>
      <c r="R13" s="55"/>
      <c r="S13" s="37"/>
      <c r="T13" s="19"/>
      <c r="U13" s="32">
        <v>10</v>
      </c>
      <c r="V13" s="32"/>
      <c r="W13" s="183">
        <v>20</v>
      </c>
      <c r="X13" s="183"/>
      <c r="Y13" s="32">
        <v>40</v>
      </c>
      <c r="Z13" s="32"/>
      <c r="AA13" s="32">
        <v>60</v>
      </c>
      <c r="AB13" s="32"/>
      <c r="AC13" s="32">
        <v>80</v>
      </c>
      <c r="AD13" s="32"/>
      <c r="AE13" s="22"/>
      <c r="AF13" s="32"/>
      <c r="AG13" s="115"/>
      <c r="AH13" s="165"/>
      <c r="AI13" s="32"/>
      <c r="AJ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67"/>
      <c r="BD13" s="67"/>
      <c r="BE13" s="67"/>
      <c r="BF13" s="67"/>
      <c r="BG13" s="67"/>
      <c r="BH13" s="22"/>
      <c r="BI13" s="67"/>
      <c r="BJ13" s="67"/>
      <c r="BK13" s="22"/>
      <c r="BL13" s="67"/>
      <c r="BM13" s="67"/>
      <c r="BN13" s="67"/>
      <c r="BO13" s="67"/>
      <c r="BP13" s="67"/>
      <c r="BQ13" s="67"/>
      <c r="BR13" s="22"/>
      <c r="BS13" s="67"/>
      <c r="BT13" s="67"/>
      <c r="BU13" s="19"/>
      <c r="BV13" s="67"/>
      <c r="BW13" s="67"/>
      <c r="BX13" s="67"/>
      <c r="BY13" s="67"/>
      <c r="BZ13" s="67"/>
      <c r="CA13" s="67"/>
      <c r="CB13" s="22"/>
      <c r="CC13" s="67"/>
      <c r="CD13" s="67"/>
      <c r="CE13" s="16"/>
      <c r="CJ13" s="44"/>
      <c r="CK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9"/>
      <c r="CX13" s="19"/>
      <c r="CY13" s="19"/>
      <c r="CZ13" s="19"/>
      <c r="DA13" s="1"/>
      <c r="DB13" s="1"/>
      <c r="DF13" s="6"/>
      <c r="DG13" s="2"/>
      <c r="DI13" s="8"/>
      <c r="DK13" s="8"/>
      <c r="DL13" s="8"/>
      <c r="DM13" s="8"/>
      <c r="DN13" s="8"/>
      <c r="DO13" s="8"/>
      <c r="DP13" s="14"/>
      <c r="DQ13" s="15"/>
      <c r="DR13" s="15"/>
      <c r="DS13" s="15"/>
      <c r="DT13" s="15"/>
      <c r="DU13" s="15"/>
      <c r="DV13" s="15"/>
      <c r="DW13" s="15"/>
      <c r="DX13" s="14"/>
      <c r="DY13" s="14"/>
      <c r="DZ13" s="14"/>
      <c r="EC13" s="2"/>
      <c r="EU13" s="2"/>
    </row>
    <row r="14" spans="1:201" ht="15.75" x14ac:dyDescent="0.25">
      <c r="A14" t="s">
        <v>11</v>
      </c>
      <c r="B14" s="30">
        <f>ABS(B11-B13)/B13</f>
        <v>6.7750000000000019E-2</v>
      </c>
      <c r="C14" s="33"/>
      <c r="D14" s="30">
        <f>ABS(D11-D13)/D13</f>
        <v>5.9750000000000011E-2</v>
      </c>
      <c r="E14" s="34"/>
      <c r="F14" s="30">
        <f>ABS(F11-F13)/F13</f>
        <v>0.12325</v>
      </c>
      <c r="G14" s="34"/>
      <c r="H14" s="34"/>
      <c r="I14" s="34"/>
      <c r="J14" s="38"/>
      <c r="K14" s="30">
        <f t="shared" ref="K14:P14" si="2">(K12-K13)/K13</f>
        <v>9.3250000000000097E-2</v>
      </c>
      <c r="L14" s="30">
        <f t="shared" si="2"/>
        <v>0.183</v>
      </c>
      <c r="M14" s="30">
        <f t="shared" si="2"/>
        <v>-0.14962499999999998</v>
      </c>
      <c r="N14" s="30">
        <f t="shared" si="2"/>
        <v>-0.17300000000000004</v>
      </c>
      <c r="O14" s="30">
        <f>(O12-O13)/O13</f>
        <v>0.13812500000000014</v>
      </c>
      <c r="P14" s="30">
        <f t="shared" si="2"/>
        <v>-0.16131250000000003</v>
      </c>
      <c r="Q14" s="56"/>
      <c r="R14" s="56"/>
      <c r="S14" s="19"/>
      <c r="T14" s="19"/>
      <c r="U14" s="49">
        <f>ABS(V11-U13)/U13</f>
        <v>4.1000000000000016E-2</v>
      </c>
      <c r="V14" s="23"/>
      <c r="W14" s="184">
        <f>ABS(X11-W13)/W13</f>
        <v>0.76800000000000002</v>
      </c>
      <c r="X14" s="185"/>
      <c r="Y14" s="49">
        <f>ABS(Z11-Y13)/Y13</f>
        <v>0.30150000000000005</v>
      </c>
      <c r="Z14" s="38"/>
      <c r="AA14" s="49">
        <f>ABS(AB11-AA13)/AA13</f>
        <v>0.26183333333333336</v>
      </c>
      <c r="AB14" s="38"/>
      <c r="AC14" s="49">
        <f>ABS(AD11-AC13)/AC13</f>
        <v>0.37524999999999997</v>
      </c>
      <c r="AD14" s="38"/>
      <c r="AE14" s="38"/>
      <c r="AF14" s="38"/>
      <c r="AG14" s="16"/>
      <c r="AH14" s="38"/>
      <c r="AI14" s="23"/>
      <c r="AJ14" s="38"/>
      <c r="AK14" s="38"/>
      <c r="AL14" s="38"/>
      <c r="AM14" s="38"/>
      <c r="AN14" s="38"/>
      <c r="AO14" s="38"/>
      <c r="AP14" s="38"/>
      <c r="AQ14" s="16"/>
      <c r="AR14" s="45"/>
      <c r="AS14" s="38"/>
      <c r="AT14" s="36"/>
      <c r="AU14" s="38"/>
      <c r="AV14" s="36"/>
      <c r="AW14" s="38"/>
      <c r="AX14" s="38"/>
      <c r="AY14" s="38"/>
      <c r="AZ14" s="38"/>
      <c r="BA14" s="16"/>
      <c r="BB14" s="23"/>
      <c r="BC14" s="23"/>
      <c r="BD14" s="38"/>
      <c r="BE14" s="38"/>
      <c r="BF14" s="38"/>
      <c r="BG14" s="38"/>
      <c r="BH14" s="38"/>
      <c r="BI14" s="38"/>
      <c r="BJ14" s="38"/>
      <c r="BK14" s="20"/>
      <c r="BL14" s="23"/>
      <c r="BM14" s="23"/>
      <c r="BN14" s="23"/>
      <c r="BO14" s="38"/>
      <c r="BP14" s="23"/>
      <c r="BQ14" s="38"/>
      <c r="BR14" s="38"/>
      <c r="BS14" s="38"/>
      <c r="BT14" s="38"/>
      <c r="BU14" s="16"/>
      <c r="BV14" s="38"/>
      <c r="BW14" s="23"/>
      <c r="BX14" s="38"/>
      <c r="BY14" s="38"/>
      <c r="BZ14" s="38"/>
      <c r="CA14" s="38"/>
      <c r="CB14" s="38"/>
      <c r="CC14" s="38"/>
      <c r="CD14" s="38"/>
      <c r="CE14" s="16"/>
      <c r="CJ14" s="19"/>
      <c r="CK14" s="19"/>
      <c r="CL14" s="19"/>
      <c r="CM14" s="19"/>
      <c r="CN14" s="19"/>
      <c r="CO14" s="19"/>
      <c r="CP14" s="19"/>
      <c r="CQ14" s="16"/>
      <c r="CR14" s="16"/>
      <c r="CS14" s="16"/>
      <c r="CT14" s="47"/>
      <c r="CU14" s="16"/>
      <c r="CV14" s="16"/>
      <c r="CW14" s="16"/>
      <c r="CX14" s="16"/>
      <c r="CY14" s="16"/>
      <c r="CZ14" s="16"/>
      <c r="DF14" s="6"/>
      <c r="DG14" s="2"/>
      <c r="DI14" s="8"/>
      <c r="DK14" s="8"/>
      <c r="DL14" s="8"/>
      <c r="DM14" s="8"/>
      <c r="DN14" s="8"/>
      <c r="DO14" s="8"/>
      <c r="DP14" s="14"/>
      <c r="DQ14" s="42"/>
      <c r="DR14" s="42"/>
      <c r="DS14" s="42"/>
      <c r="DT14" s="42"/>
      <c r="DU14" s="42"/>
      <c r="DV14" s="42"/>
      <c r="DW14" s="42"/>
      <c r="DX14" s="15"/>
      <c r="DY14" s="14"/>
      <c r="DZ14" s="14"/>
    </row>
    <row r="15" spans="1:201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9"/>
      <c r="L15" s="19"/>
      <c r="M15" s="19"/>
      <c r="N15" s="19"/>
      <c r="O15" s="19"/>
      <c r="S15" s="35"/>
      <c r="T15" s="142" t="s">
        <v>129</v>
      </c>
      <c r="U15" s="170">
        <f>AVERAGE(V22,V11)</f>
        <v>7.3650000000000002</v>
      </c>
      <c r="V15" s="71"/>
      <c r="W15" s="186">
        <f>AVERAGE(X11,X22)</f>
        <v>4.6400000000000006</v>
      </c>
      <c r="X15" s="187"/>
      <c r="Y15" s="170">
        <f>AVERAGE(Z11,Z22)</f>
        <v>16.91</v>
      </c>
      <c r="Z15" s="71"/>
      <c r="AA15" s="170">
        <f>AVERAGE(AB11,AB22)</f>
        <v>26.48</v>
      </c>
      <c r="AB15" s="71"/>
      <c r="AC15" s="170">
        <f>AVERAGE(AD11,AD22)</f>
        <v>34.049999999999997</v>
      </c>
      <c r="AD15" s="16"/>
      <c r="AE15" s="16"/>
      <c r="AF15" s="16"/>
      <c r="AG15" s="149"/>
      <c r="AH15" s="167"/>
      <c r="AI15" s="16"/>
      <c r="AJ15" s="167"/>
      <c r="AK15" s="16"/>
      <c r="AL15" s="167"/>
      <c r="AM15" s="16"/>
      <c r="AN15" s="167"/>
      <c r="AO15" s="16"/>
      <c r="AP15" s="167"/>
      <c r="AQ15" s="16"/>
      <c r="AR15" s="16"/>
      <c r="AS15" s="16"/>
      <c r="AT15" s="16"/>
      <c r="AU15" s="16"/>
      <c r="AV15" s="20"/>
      <c r="AW15" s="16"/>
      <c r="AX15" s="16"/>
      <c r="AY15" s="16"/>
      <c r="AZ15" s="16"/>
      <c r="BA15" s="16"/>
      <c r="BB15" s="16"/>
      <c r="BC15" s="16"/>
      <c r="BD15" s="19"/>
      <c r="BE15" s="19"/>
      <c r="BF15" s="19"/>
      <c r="BG15" s="19"/>
      <c r="BH15" s="19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20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F15" s="6"/>
      <c r="DG15" s="2"/>
      <c r="DI15" s="8"/>
      <c r="DK15" s="8"/>
      <c r="DL15" s="8"/>
      <c r="DM15" s="8"/>
      <c r="DN15" s="8"/>
      <c r="DO15" s="8"/>
      <c r="DP15" s="14"/>
      <c r="DQ15" s="42"/>
      <c r="DR15" s="42"/>
      <c r="DS15" s="42"/>
      <c r="DT15" s="42"/>
      <c r="DU15" s="42"/>
      <c r="DV15" s="42"/>
      <c r="DW15" s="42"/>
      <c r="DX15" s="14"/>
      <c r="DY15" s="14"/>
      <c r="DZ15" s="14"/>
    </row>
    <row r="16" spans="1:201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9"/>
      <c r="L16" s="19"/>
      <c r="M16" s="19"/>
      <c r="N16" s="19"/>
      <c r="O16" s="19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9"/>
      <c r="BE16" s="19"/>
      <c r="BF16" s="19"/>
      <c r="BG16" s="19"/>
      <c r="BH16" s="19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F16" s="6"/>
      <c r="DG16" s="2"/>
      <c r="DI16" s="8"/>
      <c r="DK16" s="8"/>
      <c r="DL16" s="8"/>
      <c r="DM16" s="8"/>
      <c r="DN16" s="8"/>
      <c r="DO16" s="8"/>
      <c r="DP16" s="14"/>
      <c r="DQ16" s="42"/>
      <c r="DR16" s="42"/>
      <c r="DS16" s="42"/>
      <c r="DT16" s="42"/>
      <c r="DU16" s="42"/>
      <c r="DV16" s="42"/>
      <c r="DW16" s="42"/>
      <c r="DX16" s="14"/>
      <c r="DY16" s="14"/>
      <c r="DZ16" s="14"/>
    </row>
    <row r="17" spans="1:130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24" t="s">
        <v>31</v>
      </c>
      <c r="I17" s="24" t="s">
        <v>33</v>
      </c>
      <c r="J17" s="1"/>
      <c r="K17" s="157"/>
      <c r="L17" s="157"/>
      <c r="M17" s="158"/>
      <c r="N17" s="157"/>
      <c r="O17" s="157"/>
      <c r="P17" s="17"/>
      <c r="Q17" s="18"/>
      <c r="R17" s="60"/>
      <c r="S17" s="18"/>
      <c r="T17" s="18"/>
      <c r="U17" s="24" t="s">
        <v>246</v>
      </c>
      <c r="V17" s="25" t="s">
        <v>16</v>
      </c>
      <c r="W17" s="26" t="s">
        <v>247</v>
      </c>
      <c r="X17" s="25" t="s">
        <v>16</v>
      </c>
      <c r="Y17" s="176" t="s">
        <v>248</v>
      </c>
      <c r="Z17" s="177" t="s">
        <v>16</v>
      </c>
      <c r="AA17" s="176" t="s">
        <v>250</v>
      </c>
      <c r="AB17" s="177" t="s">
        <v>16</v>
      </c>
      <c r="AC17" s="26" t="s">
        <v>251</v>
      </c>
      <c r="AD17" s="25" t="s">
        <v>16</v>
      </c>
      <c r="AE17" s="17"/>
      <c r="AF17" s="17"/>
      <c r="AG17" s="18"/>
      <c r="AH17" s="17"/>
      <c r="AI17" s="18"/>
      <c r="AJ17" s="60"/>
      <c r="AK17" s="18"/>
      <c r="AL17" s="60"/>
      <c r="AM17" s="18"/>
      <c r="AN17" s="60"/>
      <c r="AO17" s="18"/>
      <c r="AP17" s="60"/>
      <c r="AQ17" s="18"/>
      <c r="AR17" s="17"/>
      <c r="AS17" s="18"/>
      <c r="AT17" s="60"/>
      <c r="AU17" s="18"/>
      <c r="AV17" s="60"/>
      <c r="AW17" s="18"/>
      <c r="AX17" s="17"/>
      <c r="AY17" s="17"/>
      <c r="AZ17" s="17"/>
      <c r="BA17" s="18"/>
      <c r="BB17" s="63"/>
      <c r="BC17" s="18"/>
      <c r="BD17" s="64"/>
      <c r="BE17" s="18"/>
      <c r="BF17" s="64"/>
      <c r="BG17" s="18"/>
      <c r="BH17" s="17"/>
      <c r="BI17" s="63"/>
      <c r="BJ17" s="63"/>
      <c r="BK17" s="17"/>
      <c r="BL17" s="65"/>
      <c r="BM17" s="18"/>
      <c r="BN17" s="64"/>
      <c r="BO17" s="18"/>
      <c r="BP17" s="64"/>
      <c r="BQ17" s="18"/>
      <c r="BR17" s="17"/>
      <c r="BS17" s="63"/>
      <c r="BT17" s="63"/>
      <c r="BU17" s="16"/>
      <c r="BV17" s="65"/>
      <c r="BW17" s="18"/>
      <c r="BX17" s="64"/>
      <c r="BY17" s="18"/>
      <c r="BZ17" s="64"/>
      <c r="CA17" s="18"/>
      <c r="CB17" s="17"/>
      <c r="CC17" s="63"/>
      <c r="CD17" s="63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F17" s="6"/>
      <c r="DG17" s="2"/>
      <c r="DI17" s="8"/>
      <c r="DK17" s="8"/>
      <c r="DL17" s="8"/>
      <c r="DM17" s="8"/>
      <c r="DN17" s="8"/>
      <c r="DO17" s="8"/>
      <c r="DP17" s="14"/>
      <c r="DQ17" s="42"/>
      <c r="DR17" s="42"/>
      <c r="DS17" s="42"/>
      <c r="DT17" s="42"/>
      <c r="DU17" s="42"/>
      <c r="DV17" s="42"/>
      <c r="DW17" s="42"/>
      <c r="DX17" s="14"/>
      <c r="DY17" s="14"/>
      <c r="DZ17" s="14"/>
    </row>
    <row r="18" spans="1:130" ht="15.75" x14ac:dyDescent="0.25">
      <c r="B18" s="12" t="s">
        <v>158</v>
      </c>
      <c r="C18" s="29" t="e">
        <f>B18/AVERAGE(#REF!,$N7)</f>
        <v>#VALUE!</v>
      </c>
      <c r="D18" s="12" t="s">
        <v>159</v>
      </c>
      <c r="E18" s="29" t="e">
        <f>D18/AVERAGE(#REF!,$N7)</f>
        <v>#VALUE!</v>
      </c>
      <c r="F18" s="12" t="s">
        <v>158</v>
      </c>
      <c r="G18" s="29" t="e">
        <f>F18/AVERAGE(#REF!,$N7)</f>
        <v>#VALUE!</v>
      </c>
      <c r="H18" s="12" t="e">
        <f>AVERAGE(F18,D18,B18)</f>
        <v>#DIV/0!</v>
      </c>
      <c r="I18" s="30" t="e">
        <f>STDEV(D18,F18)/H18</f>
        <v>#DIV/0!</v>
      </c>
      <c r="J18" s="1"/>
      <c r="K18" s="16"/>
      <c r="L18" s="16"/>
      <c r="M18" s="159"/>
      <c r="N18" s="160"/>
      <c r="O18" s="160"/>
      <c r="P18" s="16"/>
      <c r="Q18" s="23"/>
      <c r="R18" s="16"/>
      <c r="S18" s="23"/>
      <c r="T18" s="16"/>
      <c r="U18" s="12" t="s">
        <v>159</v>
      </c>
      <c r="V18" s="29" t="e">
        <f>U18/AVERAGE(#REF!,$N7)</f>
        <v>#VALUE!</v>
      </c>
      <c r="W18" s="12" t="s">
        <v>158</v>
      </c>
      <c r="X18" s="29" t="e">
        <f>W18/AVERAGE(#REF!,$N7)</f>
        <v>#VALUE!</v>
      </c>
      <c r="Y18" s="178" t="s">
        <v>159</v>
      </c>
      <c r="Z18" s="179" t="e">
        <f>Y18/AVERAGE(#REF!,$N7)</f>
        <v>#VALUE!</v>
      </c>
      <c r="AA18" s="178" t="s">
        <v>159</v>
      </c>
      <c r="AB18" s="179" t="e">
        <f>AA18/AVERAGE(#REF!,$N7)</f>
        <v>#VALUE!</v>
      </c>
      <c r="AC18" s="12" t="s">
        <v>158</v>
      </c>
      <c r="AD18" s="168" t="e">
        <f>AC18/AVERAGE(#REF!,$N7)</f>
        <v>#VALUE!</v>
      </c>
      <c r="AE18" s="16"/>
      <c r="AF18" s="38"/>
      <c r="AG18" s="20"/>
      <c r="AH18" s="16"/>
      <c r="AI18" s="23"/>
      <c r="AJ18" s="16"/>
      <c r="AK18" s="23"/>
      <c r="AL18" s="16"/>
      <c r="AM18" s="23"/>
      <c r="AN18" s="16"/>
      <c r="AO18" s="23"/>
      <c r="AP18" s="16"/>
      <c r="AQ18" s="23"/>
      <c r="AR18" s="43"/>
      <c r="AS18" s="23"/>
      <c r="AT18" s="16"/>
      <c r="AU18" s="23"/>
      <c r="AV18" s="16"/>
      <c r="AW18" s="23"/>
      <c r="AX18" s="23"/>
      <c r="AY18" s="16"/>
      <c r="AZ18" s="38"/>
      <c r="BA18" s="20"/>
      <c r="BB18" s="43"/>
      <c r="BC18" s="23"/>
      <c r="BD18" s="16"/>
      <c r="BE18" s="23"/>
      <c r="BF18" s="16"/>
      <c r="BG18" s="23"/>
      <c r="BH18" s="23"/>
      <c r="BI18" s="16"/>
      <c r="BJ18" s="38"/>
      <c r="BK18" s="16"/>
      <c r="BL18" s="43"/>
      <c r="BM18" s="23"/>
      <c r="BN18" s="16"/>
      <c r="BO18" s="23"/>
      <c r="BP18" s="16"/>
      <c r="BQ18" s="23"/>
      <c r="BR18" s="23"/>
      <c r="BS18" s="16"/>
      <c r="BT18" s="38"/>
      <c r="BU18" s="20"/>
      <c r="BV18" s="43"/>
      <c r="BW18" s="23"/>
      <c r="BX18" s="16"/>
      <c r="BY18" s="23"/>
      <c r="BZ18" s="16"/>
      <c r="CA18" s="23"/>
      <c r="CB18" s="23"/>
      <c r="CC18" s="16"/>
      <c r="CD18" s="38"/>
      <c r="CO18" s="2"/>
      <c r="DF18" s="6"/>
      <c r="DG18" s="2"/>
      <c r="DI18" s="8"/>
      <c r="DK18" s="8"/>
      <c r="DL18" s="8"/>
      <c r="DM18" s="8"/>
      <c r="DN18" s="8"/>
      <c r="DO18" s="8"/>
      <c r="DP18" s="14"/>
      <c r="DQ18" s="42"/>
      <c r="DR18" s="42"/>
      <c r="DS18" s="42"/>
      <c r="DT18" s="42"/>
      <c r="DU18" s="42"/>
      <c r="DV18" s="42"/>
      <c r="DW18" s="42"/>
      <c r="DX18" s="14"/>
      <c r="DY18" s="14"/>
      <c r="DZ18" s="14"/>
    </row>
    <row r="19" spans="1:130" ht="15.75" x14ac:dyDescent="0.25">
      <c r="B19" s="12">
        <v>28.2</v>
      </c>
      <c r="C19" s="30">
        <f>B19/P8</f>
        <v>0.75179952012796591</v>
      </c>
      <c r="D19" s="12">
        <v>21.65</v>
      </c>
      <c r="E19" s="98">
        <f>D19/P8</f>
        <v>0.57717941882164758</v>
      </c>
      <c r="F19" s="12">
        <v>24.13</v>
      </c>
      <c r="G19" s="98">
        <f>F19/P8</f>
        <v>0.64329512130098643</v>
      </c>
      <c r="H19" s="12">
        <f>AVERAGE(F19,D19,B19)</f>
        <v>24.66</v>
      </c>
      <c r="I19" s="30">
        <f>STDEV(B19,D19,F19)/H19</f>
        <v>0.13410412452989837</v>
      </c>
      <c r="J19" s="11"/>
      <c r="K19" s="16"/>
      <c r="L19" s="16"/>
      <c r="M19" s="159"/>
      <c r="N19" s="160"/>
      <c r="O19" s="160"/>
      <c r="P19" s="16"/>
      <c r="Q19" s="38"/>
      <c r="R19" s="16"/>
      <c r="S19" s="38"/>
      <c r="T19" s="16"/>
      <c r="U19" s="12">
        <v>61.9</v>
      </c>
      <c r="V19" s="30">
        <f>(U19/2)/$P$8</f>
        <v>0.8251133031191682</v>
      </c>
      <c r="W19" s="12">
        <v>62.65</v>
      </c>
      <c r="X19" s="30">
        <f>(W19/2)/$P$8</f>
        <v>0.83511063716342315</v>
      </c>
      <c r="Y19" s="178">
        <v>43.54</v>
      </c>
      <c r="Z19" s="180">
        <f>(Y19/2)/$P$8</f>
        <v>0.58037856571580915</v>
      </c>
      <c r="AA19" s="178">
        <v>51.66</v>
      </c>
      <c r="AB19" s="180">
        <f>(AA19/2)/$P$8</f>
        <v>0.68861636896827516</v>
      </c>
      <c r="AC19" s="12">
        <v>60.08</v>
      </c>
      <c r="AD19" s="30">
        <f>(AC19/2)/$P$8</f>
        <v>0.80085310583844305</v>
      </c>
      <c r="AE19" s="16"/>
      <c r="AF19" s="23"/>
      <c r="AG19" s="20"/>
      <c r="AH19" s="16"/>
      <c r="AI19" s="38"/>
      <c r="AJ19" s="16"/>
      <c r="AK19" s="38"/>
      <c r="AL19" s="16"/>
      <c r="AM19" s="38"/>
      <c r="AN19" s="16"/>
      <c r="AO19" s="38"/>
      <c r="AP19" s="16"/>
      <c r="AQ19" s="38"/>
      <c r="AR19" s="43"/>
      <c r="AS19" s="38"/>
      <c r="AT19" s="16"/>
      <c r="AU19" s="38"/>
      <c r="AV19" s="16"/>
      <c r="AW19" s="38"/>
      <c r="AX19" s="38"/>
      <c r="AY19" s="16"/>
      <c r="AZ19" s="38"/>
      <c r="BA19" s="20"/>
      <c r="BB19" s="43"/>
      <c r="BC19" s="38"/>
      <c r="BD19" s="16"/>
      <c r="BE19" s="38"/>
      <c r="BF19" s="16"/>
      <c r="BG19" s="38"/>
      <c r="BH19" s="38"/>
      <c r="BI19" s="16"/>
      <c r="BJ19" s="38"/>
      <c r="BK19" s="16"/>
      <c r="BL19" s="43"/>
      <c r="BM19" s="23"/>
      <c r="BN19" s="16"/>
      <c r="BO19" s="23"/>
      <c r="BP19" s="16"/>
      <c r="BQ19" s="23"/>
      <c r="BR19" s="38"/>
      <c r="BS19" s="16"/>
      <c r="BT19" s="38"/>
      <c r="BU19" s="20"/>
      <c r="BV19" s="43"/>
      <c r="BW19" s="23"/>
      <c r="BX19" s="16"/>
      <c r="BY19" s="23"/>
      <c r="BZ19" s="16"/>
      <c r="CA19" s="23"/>
      <c r="CB19" s="38"/>
      <c r="CC19" s="16"/>
      <c r="CD19" s="38"/>
      <c r="DD19" s="10"/>
      <c r="DE19" s="10"/>
      <c r="DF19" s="10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</row>
    <row r="20" spans="1:130" ht="15.75" x14ac:dyDescent="0.25">
      <c r="A20" t="s">
        <v>0</v>
      </c>
      <c r="B20" s="12">
        <v>6.89</v>
      </c>
      <c r="C20" s="30">
        <f>B20/P9</f>
        <v>0.77502812148481426</v>
      </c>
      <c r="D20" s="12">
        <v>5.88</v>
      </c>
      <c r="E20" s="98">
        <f>D20/P9</f>
        <v>0.6614173228346456</v>
      </c>
      <c r="F20" s="12">
        <v>4.2</v>
      </c>
      <c r="G20" s="98">
        <f>F20/P9</f>
        <v>0.47244094488188976</v>
      </c>
      <c r="H20" s="274">
        <f>AVERAGE(F20,D20,B20)</f>
        <v>5.6566666666666663</v>
      </c>
      <c r="I20" s="30">
        <f>STDEV(B20,D20,F20)/H20</f>
        <v>0.24021837694376236</v>
      </c>
      <c r="K20" s="16"/>
      <c r="L20" s="16"/>
      <c r="M20" s="159"/>
      <c r="N20" s="160"/>
      <c r="O20" s="160"/>
      <c r="P20" s="16"/>
      <c r="Q20" s="16"/>
      <c r="R20" s="16"/>
      <c r="S20" s="16"/>
      <c r="T20" s="16"/>
      <c r="U20" s="12">
        <v>1.4</v>
      </c>
      <c r="V20" s="12">
        <v>1.4</v>
      </c>
      <c r="W20" s="12" t="s">
        <v>158</v>
      </c>
      <c r="X20" s="12" t="s">
        <v>158</v>
      </c>
      <c r="Y20" s="178">
        <v>4</v>
      </c>
      <c r="Z20" s="178">
        <v>4</v>
      </c>
      <c r="AA20" s="178">
        <v>6.02</v>
      </c>
      <c r="AB20" s="178">
        <v>6.02</v>
      </c>
      <c r="AC20" s="12">
        <v>9.92</v>
      </c>
      <c r="AD20" s="12">
        <v>9.92</v>
      </c>
      <c r="AE20" s="16"/>
      <c r="AF20" s="45"/>
      <c r="AG20" s="43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45"/>
      <c r="AS20" s="45"/>
      <c r="AT20" s="45"/>
      <c r="AU20" s="45"/>
      <c r="AV20" s="45"/>
      <c r="AW20" s="45"/>
      <c r="AX20" s="45"/>
      <c r="AY20" s="16"/>
      <c r="AZ20" s="45"/>
      <c r="BA20" s="19"/>
      <c r="BB20" s="43"/>
      <c r="BC20" s="16"/>
      <c r="BD20" s="16"/>
      <c r="BE20" s="16"/>
      <c r="BF20" s="16"/>
      <c r="BG20" s="16"/>
      <c r="BH20" s="38"/>
      <c r="BI20" s="16"/>
      <c r="BJ20" s="38"/>
      <c r="BK20" s="16"/>
      <c r="BL20" s="43"/>
      <c r="BM20" s="16"/>
      <c r="BN20" s="16"/>
      <c r="BO20" s="16"/>
      <c r="BP20" s="16"/>
      <c r="BQ20" s="16"/>
      <c r="BR20" s="38"/>
      <c r="BS20" s="16"/>
      <c r="BT20" s="38"/>
      <c r="BU20" s="20"/>
      <c r="BV20" s="43"/>
      <c r="BW20" s="16"/>
      <c r="BX20" s="16"/>
      <c r="BY20" s="16"/>
      <c r="BZ20" s="16"/>
      <c r="CA20" s="16"/>
      <c r="CB20" s="38"/>
      <c r="CC20" s="16"/>
      <c r="CD20" s="38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</row>
    <row r="21" spans="1:130" ht="15.75" x14ac:dyDescent="0.25">
      <c r="B21" s="12">
        <v>10.96</v>
      </c>
      <c r="C21" s="98">
        <f>B21/P10</f>
        <v>0.52959652089876785</v>
      </c>
      <c r="D21" s="12">
        <v>9.16</v>
      </c>
      <c r="E21" s="98">
        <f>D21/P10</f>
        <v>0.44261899009422567</v>
      </c>
      <c r="F21" s="12">
        <v>0.39</v>
      </c>
      <c r="G21" s="98">
        <f>F21/P10</f>
        <v>1.8845131674317468E-2</v>
      </c>
      <c r="H21" s="274">
        <f>AVERAGE(F21,D21,B21)</f>
        <v>6.8366666666666669</v>
      </c>
      <c r="I21" s="30">
        <f>STDEV(B21,D21,F21)/H21</f>
        <v>0.82716535157774218</v>
      </c>
      <c r="K21" s="16"/>
      <c r="L21" s="16"/>
      <c r="M21" s="159"/>
      <c r="N21" s="160"/>
      <c r="O21" s="160"/>
      <c r="P21" s="16"/>
      <c r="Q21" s="16"/>
      <c r="R21" s="16"/>
      <c r="S21" s="16"/>
      <c r="T21" s="16"/>
      <c r="U21" s="12">
        <v>3.74</v>
      </c>
      <c r="V21" s="12">
        <v>3.74</v>
      </c>
      <c r="W21" s="12" t="s">
        <v>158</v>
      </c>
      <c r="X21" s="12" t="s">
        <v>158</v>
      </c>
      <c r="Y21" s="178">
        <v>1.88</v>
      </c>
      <c r="Z21" s="178">
        <v>1.88</v>
      </c>
      <c r="AA21" s="178">
        <v>2.65</v>
      </c>
      <c r="AB21" s="178">
        <v>2.65</v>
      </c>
      <c r="AC21" s="12">
        <v>8.1999999999999993</v>
      </c>
      <c r="AD21" s="12">
        <v>8.1999999999999993</v>
      </c>
      <c r="AE21" s="16"/>
      <c r="AF21" s="45"/>
      <c r="AG21" s="43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45"/>
      <c r="AS21" s="45"/>
      <c r="AT21" s="45"/>
      <c r="AU21" s="45"/>
      <c r="AV21" s="45"/>
      <c r="AW21" s="45"/>
      <c r="AX21" s="45"/>
      <c r="AY21" s="16"/>
      <c r="AZ21" s="45"/>
      <c r="BA21" s="19"/>
      <c r="BB21" s="43"/>
      <c r="BC21" s="16"/>
      <c r="BD21" s="16"/>
      <c r="BE21" s="16"/>
      <c r="BF21" s="16"/>
      <c r="BG21" s="16"/>
      <c r="BH21" s="38"/>
      <c r="BI21" s="16"/>
      <c r="BJ21" s="38"/>
      <c r="BK21" s="16"/>
      <c r="BL21" s="43"/>
      <c r="BM21" s="16"/>
      <c r="BN21" s="16"/>
      <c r="BO21" s="16"/>
      <c r="BP21" s="16"/>
      <c r="BQ21" s="16"/>
      <c r="BR21" s="38"/>
      <c r="BS21" s="16"/>
      <c r="BT21" s="38"/>
      <c r="BU21" s="20"/>
      <c r="BV21" s="43"/>
      <c r="BW21" s="16"/>
      <c r="BX21" s="16"/>
      <c r="BY21" s="16"/>
      <c r="BZ21" s="16"/>
      <c r="CA21" s="16"/>
      <c r="CB21" s="38"/>
      <c r="CC21" s="16"/>
      <c r="CD21" s="38"/>
      <c r="DD21" s="2"/>
      <c r="DE21" s="2"/>
      <c r="DF21" s="2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</row>
    <row r="22" spans="1:130" ht="15.75" x14ac:dyDescent="0.25">
      <c r="A22" t="s">
        <v>20</v>
      </c>
      <c r="B22" s="52">
        <f>SUM(B20,B21)</f>
        <v>17.850000000000001</v>
      </c>
      <c r="C22" s="98">
        <f>B22/P11</f>
        <v>0.60334629034983944</v>
      </c>
      <c r="D22" s="52">
        <f>SUM(D20,D21)</f>
        <v>15.04</v>
      </c>
      <c r="E22" s="98">
        <f>D22/P11</f>
        <v>0.50836572587459861</v>
      </c>
      <c r="F22" s="52">
        <f>SUM(F20,F21)</f>
        <v>4.59</v>
      </c>
      <c r="G22" s="98">
        <f>F22/P11</f>
        <v>0.15514618894710155</v>
      </c>
      <c r="H22" s="274">
        <f>AVERAGE(F22,D22,B22)</f>
        <v>12.493333333333334</v>
      </c>
      <c r="I22" s="30">
        <f>STDEV(B22,D22,F22)/H22</f>
        <v>0.55927467766017003</v>
      </c>
      <c r="K22" s="161"/>
      <c r="L22" s="161"/>
      <c r="M22" s="159"/>
      <c r="N22" s="160"/>
      <c r="O22" s="160"/>
      <c r="P22" s="19"/>
      <c r="Q22" s="19"/>
      <c r="R22" s="19"/>
      <c r="S22" s="19"/>
      <c r="T22" s="16"/>
      <c r="U22" s="12">
        <f>SUM(U20,U21)</f>
        <v>5.1400000000000006</v>
      </c>
      <c r="V22" s="12">
        <f>SUM(V20,V21)</f>
        <v>5.1400000000000006</v>
      </c>
      <c r="W22" s="12" t="s">
        <v>159</v>
      </c>
      <c r="X22" s="12" t="s">
        <v>159</v>
      </c>
      <c r="Y22" s="181">
        <f t="shared" ref="Y22:AD22" si="3">SUM(Y20,Y21)</f>
        <v>5.88</v>
      </c>
      <c r="Z22" s="181">
        <f t="shared" si="3"/>
        <v>5.88</v>
      </c>
      <c r="AA22" s="181">
        <f t="shared" si="3"/>
        <v>8.67</v>
      </c>
      <c r="AB22" s="178">
        <f t="shared" si="3"/>
        <v>8.67</v>
      </c>
      <c r="AC22" s="13">
        <f t="shared" si="3"/>
        <v>18.119999999999997</v>
      </c>
      <c r="AD22" s="113">
        <f t="shared" si="3"/>
        <v>18.119999999999997</v>
      </c>
      <c r="AE22" s="16"/>
      <c r="AF22" s="45"/>
      <c r="AG22" s="43"/>
      <c r="AH22" s="16"/>
      <c r="AI22" s="16"/>
      <c r="AJ22" s="16"/>
      <c r="AK22" s="16"/>
      <c r="AL22" s="19"/>
      <c r="AM22" s="16"/>
      <c r="AN22" s="19"/>
      <c r="AO22" s="16"/>
      <c r="AP22" s="19"/>
      <c r="AQ22" s="16"/>
      <c r="AR22" s="21"/>
      <c r="AS22" s="45"/>
      <c r="AT22" s="45"/>
      <c r="AU22" s="45"/>
      <c r="AV22" s="45"/>
      <c r="AW22" s="45"/>
      <c r="AX22" s="45"/>
      <c r="AY22" s="16"/>
      <c r="AZ22" s="45"/>
      <c r="BA22" s="19"/>
      <c r="BB22" s="19"/>
      <c r="BC22" s="16"/>
      <c r="BD22" s="19"/>
      <c r="BE22" s="16"/>
      <c r="BF22" s="19"/>
      <c r="BG22" s="16"/>
      <c r="BH22" s="38"/>
      <c r="BI22" s="16"/>
      <c r="BJ22" s="38"/>
      <c r="BK22" s="19"/>
      <c r="BL22" s="19"/>
      <c r="BM22" s="16"/>
      <c r="BN22" s="19"/>
      <c r="BO22" s="16"/>
      <c r="BP22" s="19"/>
      <c r="BQ22" s="16"/>
      <c r="BR22" s="38"/>
      <c r="BS22" s="16"/>
      <c r="BT22" s="38"/>
      <c r="BU22" s="20"/>
      <c r="BV22" s="19"/>
      <c r="BW22" s="16"/>
      <c r="BX22" s="19"/>
      <c r="BY22" s="16"/>
      <c r="BZ22" s="19"/>
      <c r="CA22" s="16"/>
      <c r="CB22" s="38"/>
      <c r="CC22" s="16"/>
      <c r="CD22" s="38"/>
      <c r="DD22" s="2"/>
      <c r="DE22" s="2"/>
      <c r="DF22" s="2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</row>
    <row r="23" spans="1:130" ht="15.75" x14ac:dyDescent="0.25">
      <c r="A23" t="s">
        <v>1</v>
      </c>
      <c r="B23" s="31"/>
      <c r="C23" s="31"/>
      <c r="D23" s="31"/>
      <c r="E23" s="31"/>
      <c r="F23" s="31"/>
      <c r="G23" s="31"/>
      <c r="H23" s="31"/>
      <c r="I23" s="31"/>
      <c r="K23" s="162"/>
      <c r="L23" s="162"/>
      <c r="M23" s="162"/>
      <c r="N23" s="162"/>
      <c r="O23" s="162"/>
      <c r="P23" s="21"/>
      <c r="Q23" s="73"/>
      <c r="R23" s="21"/>
      <c r="S23" s="73"/>
      <c r="T23" s="19"/>
      <c r="U23" s="31"/>
      <c r="V23" s="31">
        <f>V22/U24</f>
        <v>0.51400000000000001</v>
      </c>
      <c r="W23" s="31"/>
      <c r="X23" s="31" t="e">
        <f>X22/W24</f>
        <v>#VALUE!</v>
      </c>
      <c r="Y23" s="182"/>
      <c r="Z23" s="182">
        <f>Z22/Y24</f>
        <v>0.14699999999999999</v>
      </c>
      <c r="AA23" s="182"/>
      <c r="AB23" s="182">
        <f>AB22/AA24</f>
        <v>0.14449999999999999</v>
      </c>
      <c r="AC23" s="31"/>
      <c r="AD23" s="31">
        <f>AD22/AC24</f>
        <v>0.22649999999999998</v>
      </c>
      <c r="AE23" s="21"/>
      <c r="AF23" s="21"/>
      <c r="AG23" s="20"/>
      <c r="AH23" s="21"/>
      <c r="AI23" s="73"/>
      <c r="AJ23" s="21"/>
      <c r="AK23" s="73"/>
      <c r="AL23" s="21"/>
      <c r="AM23" s="73"/>
      <c r="AN23" s="21"/>
      <c r="AO23" s="73"/>
      <c r="AP23" s="21"/>
      <c r="AQ23" s="73"/>
      <c r="AR23" s="45"/>
      <c r="AS23" s="73"/>
      <c r="AT23" s="21"/>
      <c r="AU23" s="21"/>
      <c r="AV23" s="21"/>
      <c r="AW23" s="21"/>
      <c r="AX23" s="21"/>
      <c r="AY23" s="21"/>
      <c r="AZ23" s="21"/>
      <c r="BA23" s="20"/>
      <c r="BB23" s="66"/>
      <c r="BC23" s="66"/>
      <c r="BD23" s="66"/>
      <c r="BE23" s="66"/>
      <c r="BF23" s="66"/>
      <c r="BG23" s="66"/>
      <c r="BH23" s="21"/>
      <c r="BI23" s="66"/>
      <c r="BJ23" s="66"/>
      <c r="BK23" s="21"/>
      <c r="BL23" s="66"/>
      <c r="BM23" s="66"/>
      <c r="BN23" s="66"/>
      <c r="BO23" s="66"/>
      <c r="BP23" s="66"/>
      <c r="BQ23" s="66"/>
      <c r="BR23" s="21"/>
      <c r="BS23" s="66"/>
      <c r="BT23" s="66"/>
      <c r="BU23" s="16"/>
      <c r="BV23" s="66"/>
      <c r="BW23" s="66"/>
      <c r="BX23" s="66"/>
      <c r="BY23" s="66"/>
      <c r="BZ23" s="66"/>
      <c r="CA23" s="66"/>
      <c r="CB23" s="21"/>
      <c r="CC23" s="66"/>
      <c r="CD23" s="66"/>
    </row>
    <row r="24" spans="1:130" ht="15.75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32"/>
      <c r="I24" s="32"/>
      <c r="K24" s="162"/>
      <c r="L24" s="162"/>
      <c r="M24" s="162"/>
      <c r="N24" s="162"/>
      <c r="O24" s="162"/>
      <c r="P24" s="22"/>
      <c r="Q24" s="22"/>
      <c r="R24" s="22"/>
      <c r="S24" s="22"/>
      <c r="T24" s="19"/>
      <c r="U24" s="32">
        <v>10</v>
      </c>
      <c r="V24" s="32"/>
      <c r="W24" s="32">
        <v>20</v>
      </c>
      <c r="X24" s="32"/>
      <c r="Y24" s="183">
        <v>40</v>
      </c>
      <c r="Z24" s="183"/>
      <c r="AA24" s="183">
        <v>60</v>
      </c>
      <c r="AB24" s="183"/>
      <c r="AC24" s="32">
        <v>80</v>
      </c>
      <c r="AD24" s="32"/>
      <c r="AE24" s="22"/>
      <c r="AF24" s="22"/>
      <c r="AG24" s="44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44"/>
      <c r="BB24" s="67"/>
      <c r="BC24" s="67"/>
      <c r="BD24" s="67"/>
      <c r="BE24" s="67"/>
      <c r="BF24" s="67"/>
      <c r="BG24" s="67"/>
      <c r="BH24" s="22"/>
      <c r="BI24" s="67"/>
      <c r="BJ24" s="67"/>
      <c r="BK24" s="22"/>
      <c r="BL24" s="67"/>
      <c r="BM24" s="67"/>
      <c r="BN24" s="67"/>
      <c r="BO24" s="67"/>
      <c r="BP24" s="67"/>
      <c r="BQ24" s="67"/>
      <c r="BR24" s="22"/>
      <c r="BS24" s="67"/>
      <c r="BT24" s="67"/>
      <c r="BU24" s="19"/>
      <c r="BV24" s="67"/>
      <c r="BW24" s="67"/>
      <c r="BX24" s="67"/>
      <c r="BY24" s="67"/>
      <c r="BZ24" s="67"/>
      <c r="CA24" s="67"/>
      <c r="CB24" s="22"/>
      <c r="CC24" s="67"/>
      <c r="CD24" s="67"/>
    </row>
    <row r="25" spans="1:130" ht="15.75" x14ac:dyDescent="0.25">
      <c r="A25" t="s">
        <v>2</v>
      </c>
      <c r="B25" s="30">
        <f>ABS(B22-B24)/B24</f>
        <v>0.55374999999999996</v>
      </c>
      <c r="C25" s="33"/>
      <c r="D25" s="30">
        <f>ABS(D22-D24)/D24</f>
        <v>0.624</v>
      </c>
      <c r="E25" s="34"/>
      <c r="F25" s="30">
        <f>ABS(F22-F24)/F24</f>
        <v>0.88524999999999987</v>
      </c>
      <c r="G25" s="34"/>
      <c r="H25" s="34"/>
      <c r="I25" s="34"/>
      <c r="K25" s="38"/>
      <c r="L25" s="38"/>
      <c r="M25" s="38"/>
      <c r="N25" s="163"/>
      <c r="O25" s="163"/>
      <c r="P25" s="38"/>
      <c r="Q25" s="23"/>
      <c r="R25" s="38"/>
      <c r="S25" s="38"/>
      <c r="T25" s="19"/>
      <c r="U25" s="49">
        <f>ABS(V22-U24)/U24</f>
        <v>0.48599999999999993</v>
      </c>
      <c r="V25" s="49"/>
      <c r="W25" s="49" t="e">
        <f>ABS(X22-W24)/W24</f>
        <v>#VALUE!</v>
      </c>
      <c r="X25" s="49"/>
      <c r="Y25" s="184">
        <f>ABS(Z22-Y24)/Y24</f>
        <v>0.85299999999999998</v>
      </c>
      <c r="Z25" s="184"/>
      <c r="AA25" s="184">
        <f>ABS(AB22-AA24)/AA24</f>
        <v>0.85549999999999993</v>
      </c>
      <c r="AB25" s="185"/>
      <c r="AC25" s="49">
        <f>ABS(AD22-AC24)/AC24</f>
        <v>0.77350000000000008</v>
      </c>
      <c r="AD25" s="38"/>
      <c r="AE25" s="38"/>
      <c r="AF25" s="38"/>
      <c r="AG25" s="16"/>
      <c r="AH25" s="38"/>
      <c r="AI25" s="23"/>
      <c r="AJ25" s="38"/>
      <c r="AK25" s="38"/>
      <c r="AL25" s="38"/>
      <c r="AM25" s="38"/>
      <c r="AN25" s="38"/>
      <c r="AO25" s="38"/>
      <c r="AP25" s="38"/>
      <c r="AQ25" s="16"/>
      <c r="AR25" s="45"/>
      <c r="AS25" s="2"/>
      <c r="AT25" s="2"/>
      <c r="AU25" s="2"/>
      <c r="AV25" s="49"/>
      <c r="AW25" s="38"/>
      <c r="AX25" s="38"/>
      <c r="AY25" s="38"/>
      <c r="AZ25" s="38"/>
      <c r="BA25" s="16"/>
      <c r="BB25" s="38"/>
      <c r="BC25" s="23"/>
      <c r="BD25" s="23"/>
      <c r="BE25" s="38"/>
      <c r="BF25" s="23"/>
      <c r="BG25" s="38"/>
      <c r="BH25" s="38"/>
      <c r="BI25" s="38"/>
      <c r="BJ25" s="38"/>
      <c r="BK25" s="20"/>
      <c r="BL25" s="23"/>
      <c r="BM25" s="23"/>
      <c r="BN25" s="23"/>
      <c r="BO25" s="38"/>
      <c r="BP25" s="23"/>
      <c r="BQ25" s="38"/>
      <c r="BR25" s="38"/>
      <c r="BS25" s="38"/>
      <c r="BT25" s="38"/>
      <c r="BU25" s="16"/>
      <c r="BV25" s="38"/>
      <c r="BW25" s="23"/>
      <c r="BX25" s="38"/>
      <c r="BY25" s="38"/>
      <c r="BZ25" s="23"/>
      <c r="CA25" s="38"/>
      <c r="CB25" s="38"/>
      <c r="CC25" s="38"/>
      <c r="CD25" s="38"/>
    </row>
    <row r="26" spans="1:130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L26" s="35"/>
      <c r="R26" s="35"/>
      <c r="Y26" s="188"/>
      <c r="Z26" s="188">
        <v>2</v>
      </c>
      <c r="AL26" t="s">
        <v>225</v>
      </c>
      <c r="AV26" s="35"/>
      <c r="AW26" s="35"/>
      <c r="AX26" s="35"/>
      <c r="AY26" s="35"/>
      <c r="AZ26" s="35"/>
      <c r="BA26" s="35"/>
    </row>
    <row r="27" spans="1:130" x14ac:dyDescent="0.25">
      <c r="U27" s="102"/>
      <c r="AI27" s="134"/>
      <c r="AK27" s="134"/>
      <c r="AM27" s="134"/>
      <c r="AQ27" s="134"/>
      <c r="AS27" s="134"/>
    </row>
    <row r="28" spans="1:130" x14ac:dyDescent="0.25">
      <c r="A28" t="s">
        <v>26</v>
      </c>
      <c r="T28" s="16"/>
      <c r="U28" s="17"/>
      <c r="V28" s="18"/>
      <c r="W28" s="60"/>
      <c r="X28" s="18"/>
      <c r="Y28" s="16"/>
      <c r="Z28" s="16"/>
      <c r="AA28" s="16"/>
      <c r="AB28" s="16"/>
      <c r="AC28" s="16"/>
      <c r="AD28" s="16"/>
      <c r="AE28" s="16"/>
    </row>
    <row r="29" spans="1:130" x14ac:dyDescent="0.25">
      <c r="A29" t="s">
        <v>3</v>
      </c>
      <c r="T29" s="16"/>
      <c r="U29" s="16"/>
      <c r="V29" s="23"/>
      <c r="W29" s="16"/>
      <c r="X29" s="23"/>
      <c r="Y29" s="16"/>
      <c r="Z29" s="16"/>
      <c r="AA29" s="16"/>
      <c r="AB29" s="16"/>
      <c r="AC29" s="16"/>
      <c r="AD29" s="16"/>
      <c r="AE29" s="16"/>
    </row>
    <row r="30" spans="1:130" x14ac:dyDescent="0.25">
      <c r="A30" t="str">
        <f>"-OR-"</f>
        <v>-OR-</v>
      </c>
      <c r="T30" s="16"/>
      <c r="U30" s="16"/>
      <c r="V30" s="38"/>
      <c r="W30" s="16"/>
      <c r="X30" s="38"/>
      <c r="Y30" s="16"/>
      <c r="Z30" s="16"/>
      <c r="AA30" s="16"/>
      <c r="AB30" s="16"/>
      <c r="AC30" s="16"/>
      <c r="AD30" s="16"/>
      <c r="AE30" s="16"/>
    </row>
    <row r="31" spans="1:130" x14ac:dyDescent="0.25">
      <c r="A31" t="s">
        <v>24</v>
      </c>
      <c r="T31" s="16"/>
      <c r="U31" s="16"/>
      <c r="V31" s="16"/>
      <c r="W31" s="16"/>
      <c r="X31" s="16"/>
      <c r="Y31" s="60"/>
      <c r="Z31" s="18"/>
      <c r="AA31" s="60"/>
      <c r="AB31" s="18"/>
      <c r="AC31" s="60"/>
      <c r="AD31" s="18"/>
      <c r="AE31" s="16"/>
    </row>
    <row r="32" spans="1:130" x14ac:dyDescent="0.25">
      <c r="A32" t="s">
        <v>25</v>
      </c>
      <c r="T32" s="16"/>
      <c r="U32" s="16"/>
      <c r="V32" s="16"/>
      <c r="W32" s="16"/>
      <c r="X32" s="16"/>
      <c r="Y32" s="16"/>
      <c r="Z32" s="23"/>
      <c r="AA32" s="16"/>
      <c r="AB32" s="23"/>
      <c r="AC32" s="16"/>
      <c r="AD32" s="23"/>
      <c r="AE32" s="16"/>
    </row>
    <row r="33" spans="1:31" x14ac:dyDescent="0.25">
      <c r="T33" s="16"/>
      <c r="U33" s="19"/>
      <c r="V33" s="19"/>
      <c r="W33" s="19"/>
      <c r="X33" s="19"/>
      <c r="Y33" s="16"/>
      <c r="Z33" s="38"/>
      <c r="AA33" s="16"/>
      <c r="AB33" s="23"/>
      <c r="AC33" s="16"/>
      <c r="AD33" s="23"/>
      <c r="AE33" s="16"/>
    </row>
    <row r="34" spans="1:31" x14ac:dyDescent="0.25">
      <c r="A34" t="s">
        <v>23</v>
      </c>
      <c r="T34" s="16"/>
      <c r="U34" s="21"/>
      <c r="V34" s="73"/>
      <c r="W34" s="21"/>
      <c r="X34" s="73"/>
      <c r="Y34" s="16"/>
      <c r="Z34" s="16"/>
      <c r="AA34" s="16"/>
      <c r="AB34" s="16"/>
      <c r="AC34" s="16"/>
      <c r="AD34" s="16"/>
      <c r="AE34" s="16"/>
    </row>
    <row r="35" spans="1:31" x14ac:dyDescent="0.25">
      <c r="A35" t="s">
        <v>18</v>
      </c>
      <c r="T35" s="16"/>
      <c r="U35" s="22"/>
      <c r="V35" s="22"/>
      <c r="W35" s="22"/>
      <c r="X35" s="22"/>
      <c r="Y35" s="16"/>
      <c r="Z35" s="16"/>
      <c r="AA35" s="16"/>
      <c r="AB35" s="16"/>
      <c r="AC35" s="16"/>
      <c r="AD35" s="16"/>
      <c r="AE35" s="16"/>
    </row>
    <row r="36" spans="1:31" x14ac:dyDescent="0.25">
      <c r="T36" s="16"/>
      <c r="U36" s="38"/>
      <c r="V36" s="23"/>
      <c r="W36" s="38"/>
      <c r="X36" s="38"/>
      <c r="Y36" s="19"/>
      <c r="Z36" s="16"/>
      <c r="AA36" s="19"/>
      <c r="AB36" s="16"/>
      <c r="AC36" s="19"/>
      <c r="AD36" s="16"/>
      <c r="AE36" s="16"/>
    </row>
    <row r="37" spans="1:31" x14ac:dyDescent="0.25">
      <c r="A37" t="s">
        <v>19</v>
      </c>
      <c r="T37" s="16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16"/>
    </row>
    <row r="38" spans="1:31" x14ac:dyDescent="0.25">
      <c r="A38" t="s">
        <v>3</v>
      </c>
      <c r="T38" s="16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16"/>
    </row>
    <row r="39" spans="1:31" x14ac:dyDescent="0.25">
      <c r="T39" s="16"/>
      <c r="U39" s="45"/>
      <c r="V39" s="23"/>
      <c r="W39" s="45"/>
      <c r="X39" s="38"/>
      <c r="Y39" s="45"/>
      <c r="Z39" s="38"/>
      <c r="AA39" s="38"/>
      <c r="AB39" s="38"/>
      <c r="AC39" s="38"/>
      <c r="AD39" s="38"/>
      <c r="AE39" s="16"/>
    </row>
    <row r="40" spans="1:31" x14ac:dyDescent="0.25">
      <c r="A40" t="s">
        <v>14</v>
      </c>
      <c r="T40" s="16"/>
      <c r="U40" s="38"/>
      <c r="V40" s="16"/>
      <c r="W40" s="38"/>
      <c r="X40" s="16"/>
      <c r="Y40" s="38"/>
      <c r="Z40" s="16"/>
      <c r="AA40" s="135"/>
      <c r="AB40" s="16"/>
      <c r="AC40" s="135"/>
      <c r="AD40" s="16"/>
      <c r="AE40" s="16"/>
    </row>
    <row r="41" spans="1:31" x14ac:dyDescent="0.25">
      <c r="A41" t="s">
        <v>4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x14ac:dyDescent="0.25">
      <c r="T42" s="16"/>
      <c r="U42" s="17"/>
      <c r="V42" s="18"/>
      <c r="W42" s="60"/>
      <c r="X42" s="18"/>
      <c r="Y42" s="60"/>
      <c r="Z42" s="18"/>
      <c r="AA42" s="60"/>
      <c r="AB42" s="18"/>
      <c r="AC42" s="60"/>
      <c r="AD42" s="18"/>
      <c r="AE42" s="16"/>
    </row>
    <row r="43" spans="1:31" x14ac:dyDescent="0.25">
      <c r="A43" t="s">
        <v>27</v>
      </c>
      <c r="T43" s="16"/>
      <c r="U43" s="16"/>
      <c r="V43" s="23"/>
      <c r="W43" s="16"/>
      <c r="X43" s="23"/>
      <c r="Y43" s="16"/>
      <c r="Z43" s="23"/>
      <c r="AA43" s="16"/>
      <c r="AB43" s="23"/>
      <c r="AC43" s="16"/>
      <c r="AD43" s="23"/>
      <c r="AE43" s="16"/>
    </row>
    <row r="44" spans="1:31" x14ac:dyDescent="0.25">
      <c r="A44" t="s">
        <v>28</v>
      </c>
      <c r="T44" s="16"/>
      <c r="U44" s="16"/>
      <c r="V44" s="38"/>
      <c r="W44" s="16"/>
      <c r="X44" s="38"/>
      <c r="Y44" s="16"/>
      <c r="Z44" s="38"/>
      <c r="AA44" s="16"/>
      <c r="AB44" s="23"/>
      <c r="AC44" s="16"/>
      <c r="AD44" s="38"/>
      <c r="AE44" s="16"/>
    </row>
    <row r="45" spans="1:31" x14ac:dyDescent="0.25">
      <c r="A45" t="s">
        <v>29</v>
      </c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9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9"/>
      <c r="U47" s="19"/>
      <c r="V47" s="16"/>
      <c r="W47" s="19"/>
      <c r="X47" s="16"/>
      <c r="Y47" s="16"/>
      <c r="Z47" s="16"/>
      <c r="AA47" s="16"/>
      <c r="AB47" s="16"/>
      <c r="AC47" s="16"/>
      <c r="AD47" s="16"/>
      <c r="AE47" s="16"/>
    </row>
    <row r="48" spans="1:31" x14ac:dyDescent="0.25">
      <c r="T48" s="16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16"/>
    </row>
    <row r="49" spans="20:31" x14ac:dyDescent="0.25">
      <c r="T49" s="16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16"/>
    </row>
    <row r="50" spans="20:31" x14ac:dyDescent="0.25"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7"/>
  </sheetPr>
  <dimension ref="A1:T27"/>
  <sheetViews>
    <sheetView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252</v>
      </c>
      <c r="K2" s="125" t="s">
        <v>253</v>
      </c>
      <c r="L2" s="125" t="s">
        <v>254</v>
      </c>
      <c r="M2" s="125" t="s">
        <v>249</v>
      </c>
      <c r="N2" s="125" t="s">
        <v>255</v>
      </c>
      <c r="O2" s="125" t="s">
        <v>246</v>
      </c>
      <c r="P2" s="125" t="s">
        <v>247</v>
      </c>
      <c r="Q2" s="125" t="s">
        <v>248</v>
      </c>
      <c r="R2" s="125" t="s">
        <v>250</v>
      </c>
      <c r="S2" s="125" t="s">
        <v>251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0.9</v>
      </c>
      <c r="C4" s="119">
        <v>0.79</v>
      </c>
      <c r="D4" s="119">
        <v>0.87</v>
      </c>
      <c r="E4" s="143">
        <v>0.84</v>
      </c>
      <c r="F4" s="123">
        <v>0.86</v>
      </c>
      <c r="G4" s="123">
        <v>0.76</v>
      </c>
      <c r="H4" s="278">
        <v>0.9</v>
      </c>
      <c r="I4" s="123">
        <v>0.92</v>
      </c>
      <c r="J4" s="126">
        <v>0.76</v>
      </c>
      <c r="K4" s="126">
        <v>0.78</v>
      </c>
      <c r="L4" s="126">
        <v>0.78</v>
      </c>
      <c r="M4" s="126">
        <v>0.83</v>
      </c>
      <c r="N4" s="126">
        <v>0.79</v>
      </c>
      <c r="O4" s="126">
        <v>0.86</v>
      </c>
      <c r="P4" s="126">
        <v>0.82</v>
      </c>
      <c r="Q4" s="126">
        <v>0.75</v>
      </c>
      <c r="R4" s="126">
        <v>0.9</v>
      </c>
      <c r="S4" s="126">
        <v>0.86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3">
      <c r="A10" s="116" t="s">
        <v>215</v>
      </c>
      <c r="B10" s="154" t="s">
        <v>257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74">
        <v>8.5</v>
      </c>
      <c r="L10" s="174">
        <v>17</v>
      </c>
      <c r="M10" s="174">
        <v>33</v>
      </c>
      <c r="N10" s="174">
        <v>37</v>
      </c>
      <c r="O10" s="174">
        <v>60</v>
      </c>
      <c r="P10" s="16"/>
      <c r="Q10" s="16"/>
      <c r="R10" s="16"/>
      <c r="S10" s="35"/>
      <c r="T10" s="35"/>
    </row>
    <row r="11" spans="1:20" ht="39" customHeight="1" x14ac:dyDescent="0.25">
      <c r="J11" s="81"/>
      <c r="K11" s="75">
        <v>10</v>
      </c>
      <c r="L11" s="75">
        <v>20</v>
      </c>
      <c r="M11" s="75">
        <v>40</v>
      </c>
      <c r="N11" s="75">
        <v>60</v>
      </c>
      <c r="O11" s="96">
        <v>80</v>
      </c>
      <c r="P11" s="85"/>
      <c r="Q11" s="85"/>
      <c r="R11" s="85"/>
      <c r="S11" s="35"/>
      <c r="T11" s="35"/>
    </row>
    <row r="12" spans="1:20" ht="0.75" customHeight="1" x14ac:dyDescent="0.25">
      <c r="B12" s="12" t="s">
        <v>99</v>
      </c>
      <c r="C12" s="12" t="s">
        <v>100</v>
      </c>
      <c r="D12" s="266" t="s">
        <v>103</v>
      </c>
      <c r="E12" s="266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  <c r="S12" s="35"/>
      <c r="T12" s="35"/>
    </row>
    <row r="13" spans="1:20" ht="76.5" customHeight="1" x14ac:dyDescent="0.25">
      <c r="A13" s="116" t="s">
        <v>258</v>
      </c>
      <c r="B13" s="96" t="s">
        <v>261</v>
      </c>
      <c r="C13" s="96" t="s">
        <v>262</v>
      </c>
      <c r="D13" s="253"/>
      <c r="E13" s="253"/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  <c r="S13" s="35"/>
      <c r="T13" s="35"/>
    </row>
    <row r="14" spans="1:20" x14ac:dyDescent="0.25">
      <c r="P14" s="35"/>
      <c r="Q14" s="35"/>
      <c r="R14" s="35"/>
      <c r="S14" s="35"/>
      <c r="T14" s="35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7" tint="0.39997558519241921"/>
  </sheetPr>
  <dimension ref="A2:GU50"/>
  <sheetViews>
    <sheetView zoomScale="70" zoomScaleNormal="70" zoomScaleSheetLayoutView="40" workbookViewId="0">
      <pane xSplit="1" topLeftCell="Q1" activePane="topRight" state="frozen"/>
      <selection pane="topRight" activeCell="R8" sqref="R8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3.28515625" customWidth="1"/>
    <col min="13" max="13" width="12.28515625" customWidth="1"/>
    <col min="14" max="14" width="13.140625" customWidth="1"/>
    <col min="15" max="15" width="12.85546875" customWidth="1"/>
    <col min="16" max="16" width="12.140625" customWidth="1"/>
    <col min="17" max="17" width="12.42578125" customWidth="1"/>
    <col min="18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226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s="102">
        <v>43976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110</v>
      </c>
      <c r="O6" s="50" t="s">
        <v>111</v>
      </c>
      <c r="P6" s="50" t="s">
        <v>112</v>
      </c>
      <c r="Q6" s="50" t="s">
        <v>113</v>
      </c>
      <c r="R6" s="51" t="s">
        <v>31</v>
      </c>
      <c r="S6" s="50" t="s">
        <v>30</v>
      </c>
      <c r="T6" s="17"/>
      <c r="U6" s="17"/>
      <c r="V6" s="18"/>
      <c r="W6" s="24" t="s">
        <v>252</v>
      </c>
      <c r="X6" s="25" t="s">
        <v>16</v>
      </c>
      <c r="Y6" s="26" t="s">
        <v>253</v>
      </c>
      <c r="Z6" s="25" t="s">
        <v>16</v>
      </c>
      <c r="AA6" s="26" t="s">
        <v>254</v>
      </c>
      <c r="AB6" s="25" t="s">
        <v>16</v>
      </c>
      <c r="AC6" s="26" t="s">
        <v>249</v>
      </c>
      <c r="AD6" s="25" t="s">
        <v>16</v>
      </c>
      <c r="AE6" s="26" t="s">
        <v>255</v>
      </c>
      <c r="AF6" s="25" t="s">
        <v>16</v>
      </c>
      <c r="AG6" s="17"/>
      <c r="AH6" s="17"/>
      <c r="AI6" s="18"/>
      <c r="AJ6" s="17"/>
      <c r="AK6" s="18"/>
      <c r="AL6" s="60"/>
      <c r="AM6" s="27" t="s">
        <v>54</v>
      </c>
      <c r="AN6" s="112"/>
      <c r="AO6" s="166" t="s">
        <v>256</v>
      </c>
      <c r="AP6" s="24"/>
      <c r="AQ6" s="18"/>
      <c r="AR6" s="60"/>
      <c r="AS6" s="18"/>
      <c r="AT6" s="17"/>
      <c r="AU6" s="18"/>
      <c r="AV6" s="17"/>
      <c r="AW6" s="18"/>
      <c r="AX6" s="17"/>
      <c r="AY6" s="18"/>
      <c r="AZ6" s="17"/>
      <c r="BA6" s="18"/>
      <c r="BB6" s="17"/>
      <c r="BC6" s="18"/>
      <c r="BD6" s="17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t="s">
        <v>158</v>
      </c>
      <c r="C7" s="29" t="e">
        <f>B7/AVERAGE($M7,$N7)</f>
        <v>#VALUE!</v>
      </c>
      <c r="D7" s="12" t="s">
        <v>158</v>
      </c>
      <c r="E7" s="29" t="e">
        <f>D7/AVERAGE($M7,$N7)</f>
        <v>#VALUE!</v>
      </c>
      <c r="F7" s="12" t="s">
        <v>159</v>
      </c>
      <c r="G7" s="29" t="e">
        <f>F7/AVERAGE($M7,$N7)</f>
        <v>#VALUE!</v>
      </c>
      <c r="H7" s="33"/>
      <c r="I7" s="12" t="e">
        <f>AVERAGE(B7,D7,F7)</f>
        <v>#DIV/0!</v>
      </c>
      <c r="J7" s="30" t="e">
        <f>STDEV(B7,D7,F7)/I7</f>
        <v>#DIV/0!</v>
      </c>
      <c r="K7" s="19"/>
      <c r="L7" s="12" t="s">
        <v>158</v>
      </c>
      <c r="M7" s="12" t="s">
        <v>159</v>
      </c>
      <c r="N7" s="12" t="s">
        <v>159</v>
      </c>
      <c r="O7" s="12" t="s">
        <v>158</v>
      </c>
      <c r="P7" s="12" t="s">
        <v>159</v>
      </c>
      <c r="Q7" s="12" t="s">
        <v>158</v>
      </c>
      <c r="R7" s="53" t="e">
        <f>AVERAGE(L7,M7,N7,#REF!,O7,P7,Q7,#REF!)</f>
        <v>#REF!</v>
      </c>
      <c r="S7" s="54" t="e">
        <f>ABS(L7-O7)/AVERAGE(O7,L7)</f>
        <v>#VALUE!</v>
      </c>
      <c r="T7" s="38"/>
      <c r="U7" s="38"/>
      <c r="V7" s="16"/>
      <c r="W7" s="12"/>
      <c r="X7" s="29" t="e">
        <f>W7/AVERAGE($M7,$N7)</f>
        <v>#DIV/0!</v>
      </c>
      <c r="Y7" s="12" t="s">
        <v>158</v>
      </c>
      <c r="Z7" s="29"/>
      <c r="AA7" s="12" t="s">
        <v>158</v>
      </c>
      <c r="AB7" s="29" t="e">
        <f>AA7/AVERAGE($M7,$N7)</f>
        <v>#VALUE!</v>
      </c>
      <c r="AC7" s="12" t="s">
        <v>158</v>
      </c>
      <c r="AD7" s="29" t="e">
        <f>AC7/AVERAGE($M7,$N7)</f>
        <v>#VALUE!</v>
      </c>
      <c r="AE7" s="12" t="s">
        <v>158</v>
      </c>
      <c r="AF7" s="168" t="e">
        <f>AE7/AVERAGE($M7,$N7)</f>
        <v>#VALUE!</v>
      </c>
      <c r="AG7" s="16"/>
      <c r="AH7" s="38"/>
      <c r="AI7" s="20"/>
      <c r="AJ7" s="16"/>
      <c r="AK7" s="23"/>
      <c r="AL7" s="16"/>
      <c r="AM7" s="12" t="s">
        <v>158</v>
      </c>
      <c r="AN7" s="168" t="e">
        <f>AM7/AVERAGE($L7,$M7)</f>
        <v>#VALUE!</v>
      </c>
      <c r="AO7" s="12" t="s">
        <v>158</v>
      </c>
      <c r="AP7" s="29" t="e">
        <f>AO7/AVERAGE($L7,$M7)</f>
        <v>#VALUE!</v>
      </c>
      <c r="AQ7" s="23"/>
      <c r="AR7" s="16"/>
      <c r="AS7" s="23"/>
      <c r="AT7" s="43"/>
      <c r="AU7" s="16"/>
      <c r="AV7" s="23"/>
      <c r="AW7" s="16"/>
      <c r="AX7" s="23"/>
      <c r="AY7" s="16"/>
      <c r="AZ7" s="23"/>
      <c r="BA7" s="16"/>
      <c r="BB7" s="23"/>
      <c r="BC7" s="16"/>
      <c r="BD7" s="2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>
        <v>37.89</v>
      </c>
      <c r="C8" s="30">
        <f>B8/AVERAGE($M8,$N8)</f>
        <v>0.8980801137710358</v>
      </c>
      <c r="D8" s="12">
        <v>33.130000000000003</v>
      </c>
      <c r="E8" s="30">
        <f>D8/AVERAGE($M8,$N8)</f>
        <v>0.78525716994548478</v>
      </c>
      <c r="F8" s="12">
        <v>36.520000000000003</v>
      </c>
      <c r="G8" s="30">
        <f>F8/AVERAGE($M8,$N8)</f>
        <v>0.8656079639725055</v>
      </c>
      <c r="H8" s="34"/>
      <c r="I8" s="274">
        <f>AVERAGE(B8,D8,F8)</f>
        <v>35.846666666666671</v>
      </c>
      <c r="J8" s="30">
        <f>STDEV(B8,D8,F8)/I8</f>
        <v>6.8357667641556361E-2</v>
      </c>
      <c r="K8" s="19"/>
      <c r="L8" s="12">
        <v>39.06</v>
      </c>
      <c r="M8" s="12">
        <v>41.92</v>
      </c>
      <c r="N8" s="12">
        <v>42.46</v>
      </c>
      <c r="O8" s="12">
        <v>38.94</v>
      </c>
      <c r="P8" s="274">
        <v>41.69</v>
      </c>
      <c r="Q8" s="12">
        <v>43.6</v>
      </c>
      <c r="R8" s="141">
        <f>AVERAGE(L8,M8,N8,O8,P8,Q8)</f>
        <v>41.278333333333329</v>
      </c>
      <c r="S8" s="54">
        <f>ABS(O19-L19)/AVERAGE(O8,L8)</f>
        <v>0</v>
      </c>
      <c r="T8" s="38"/>
      <c r="U8" s="38"/>
      <c r="V8" s="16"/>
      <c r="W8" s="12">
        <v>61.22</v>
      </c>
      <c r="X8" s="30">
        <f>W8*0.5/AVERAGE($L$8,$M$8)</f>
        <v>0.75598913311928861</v>
      </c>
      <c r="Y8" s="12">
        <v>63.52</v>
      </c>
      <c r="Z8" s="30">
        <f>Y8*0.5/AVERAGE($L$8,$M$8)</f>
        <v>0.78439120770560633</v>
      </c>
      <c r="AA8" s="12">
        <v>63.27</v>
      </c>
      <c r="AB8" s="30">
        <f>AA8*0.5/AVERAGE(L8,M8)</f>
        <v>0.7813040256853544</v>
      </c>
      <c r="AC8" s="12">
        <v>67.150000000000006</v>
      </c>
      <c r="AD8" s="30">
        <f>AC8*0.5/AVERAGE(L8,M8)</f>
        <v>0.82921709063966409</v>
      </c>
      <c r="AE8" s="12">
        <v>66.319999999999993</v>
      </c>
      <c r="AF8" s="169">
        <f>AE8*0.5/AVERAGE($M$8,$N$8)</f>
        <v>0.78596823891917511</v>
      </c>
      <c r="AG8" s="16"/>
      <c r="AH8" s="23"/>
      <c r="AI8" s="20"/>
      <c r="AJ8" s="16"/>
      <c r="AK8" s="38"/>
      <c r="AL8" s="16"/>
      <c r="AM8" s="12">
        <v>36.54</v>
      </c>
      <c r="AN8" s="169">
        <f>AM8/AVERAGE(8,$M8,$P8,$Q8)</f>
        <v>1.0809851342356334</v>
      </c>
      <c r="AO8" s="12">
        <v>37.11</v>
      </c>
      <c r="AP8" s="169">
        <f>AO8/AVERAGE(8,$M8,$P8,$Q8)</f>
        <v>1.097847792323053</v>
      </c>
      <c r="AQ8" s="38"/>
      <c r="AR8" s="16"/>
      <c r="AS8" s="38"/>
      <c r="AT8" s="43"/>
      <c r="AU8" s="16"/>
      <c r="AV8" s="38"/>
      <c r="AW8" s="16"/>
      <c r="AX8" s="38"/>
      <c r="AY8" s="16"/>
      <c r="AZ8" s="38"/>
      <c r="BA8" s="16"/>
      <c r="BB8" s="38"/>
      <c r="BC8" s="16"/>
      <c r="BD8" s="38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>
        <v>11.64</v>
      </c>
      <c r="C9" s="30">
        <f>B9/AVERAGE($M9,$N9)</f>
        <v>0.95881383855024716</v>
      </c>
      <c r="D9" s="12">
        <v>12.04</v>
      </c>
      <c r="E9" s="30">
        <f>D9/AVERAGE($M9,$N9)</f>
        <v>0.99176276771004934</v>
      </c>
      <c r="F9" s="12">
        <v>11.66</v>
      </c>
      <c r="G9" s="30">
        <f>F9/AVERAGE($M9,$N9)</f>
        <v>0.96046128500823724</v>
      </c>
      <c r="H9" s="34"/>
      <c r="I9" s="12">
        <f>AVERAGE(B9,D9,F9)</f>
        <v>11.780000000000001</v>
      </c>
      <c r="J9" s="30">
        <f>STDEV(B9,D9,F9)/I9</f>
        <v>1.9133153938174208E-2</v>
      </c>
      <c r="K9" s="16"/>
      <c r="L9" s="12">
        <v>13.3</v>
      </c>
      <c r="M9" s="12">
        <v>12.54</v>
      </c>
      <c r="N9" s="12">
        <v>11.74</v>
      </c>
      <c r="O9" s="12">
        <v>12.73</v>
      </c>
      <c r="P9" s="12">
        <v>13.14</v>
      </c>
      <c r="Q9" s="12">
        <v>12.15</v>
      </c>
      <c r="R9" s="53">
        <f>AVERAGE(L9,M9,N9,O9,P9,Q9)</f>
        <v>12.600000000000001</v>
      </c>
      <c r="S9" s="54">
        <f>ABS(L9-O9)/AVERAGE(O9,L9)</f>
        <v>4.3795620437956227E-2</v>
      </c>
      <c r="T9" s="38"/>
      <c r="U9" s="38"/>
      <c r="V9" s="16"/>
      <c r="W9" s="12">
        <v>6.95</v>
      </c>
      <c r="X9" s="12">
        <f>W9</f>
        <v>6.95</v>
      </c>
      <c r="Y9" s="12">
        <v>7.94</v>
      </c>
      <c r="Z9" s="12">
        <v>7.94</v>
      </c>
      <c r="AA9" s="12">
        <v>15.71</v>
      </c>
      <c r="AB9" s="12">
        <v>15.71</v>
      </c>
      <c r="AC9" s="12">
        <v>18.39</v>
      </c>
      <c r="AD9" s="12">
        <v>18.39</v>
      </c>
      <c r="AE9" s="12">
        <v>19.760000000000002</v>
      </c>
      <c r="AF9" s="12">
        <v>19.760000000000002</v>
      </c>
      <c r="AG9" s="16"/>
      <c r="AH9" s="45"/>
      <c r="AI9" s="43"/>
      <c r="AJ9" s="16"/>
      <c r="AK9" s="16"/>
      <c r="AL9" s="16"/>
      <c r="AM9" s="12"/>
      <c r="AN9" s="113"/>
      <c r="AO9" s="12">
        <v>0.52</v>
      </c>
      <c r="AP9" s="12"/>
      <c r="AQ9" s="16"/>
      <c r="AR9" s="16"/>
      <c r="AS9" s="16"/>
      <c r="AT9" s="45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>
        <v>22.21</v>
      </c>
      <c r="C10" s="30">
        <f>B10/AVERAGE($M10,$N10)</f>
        <v>0.86168768186226974</v>
      </c>
      <c r="D10" s="12">
        <v>21.12</v>
      </c>
      <c r="E10" s="30">
        <f>D10/AVERAGE($M10,$N10)</f>
        <v>0.81939864209505342</v>
      </c>
      <c r="F10" s="12">
        <v>20.190000000000001</v>
      </c>
      <c r="G10" s="30">
        <f>F10/AVERAGE($M10,$N10)</f>
        <v>0.78331716779825422</v>
      </c>
      <c r="H10" s="34"/>
      <c r="I10" s="274">
        <f>AVERAGE(B10,D10,F10)</f>
        <v>21.173333333333332</v>
      </c>
      <c r="J10" s="30">
        <f>STDEV(B10,D10,F10)/I10</f>
        <v>4.7751364327576505E-2</v>
      </c>
      <c r="K10" s="16"/>
      <c r="L10" s="12">
        <v>25.73</v>
      </c>
      <c r="M10" s="12">
        <v>27.48</v>
      </c>
      <c r="N10" s="12">
        <v>24.07</v>
      </c>
      <c r="O10" s="12">
        <v>28.28</v>
      </c>
      <c r="P10" s="12">
        <v>26.62</v>
      </c>
      <c r="Q10" s="12">
        <v>25.18</v>
      </c>
      <c r="R10" s="141">
        <f>AVERAGE(L10,M10,N10,O10,P10,Q10)</f>
        <v>26.22666666666667</v>
      </c>
      <c r="S10" s="54">
        <f>ABS(L10-O10)/AVERAGE(O10,L10)</f>
        <v>9.442695797074617E-2</v>
      </c>
      <c r="T10" s="38"/>
      <c r="U10" s="38"/>
      <c r="V10" s="16"/>
      <c r="W10" s="12">
        <v>5.18</v>
      </c>
      <c r="X10" s="12">
        <f>W10</f>
        <v>5.18</v>
      </c>
      <c r="Y10" s="12">
        <v>7.25</v>
      </c>
      <c r="Z10" s="12">
        <v>7.25</v>
      </c>
      <c r="AA10" s="12">
        <v>21.75</v>
      </c>
      <c r="AB10" s="12">
        <v>21.75</v>
      </c>
      <c r="AC10" s="12">
        <v>25.64</v>
      </c>
      <c r="AD10" s="12">
        <v>25.64</v>
      </c>
      <c r="AE10" s="12">
        <v>37.700000000000003</v>
      </c>
      <c r="AF10" s="12">
        <v>37.700000000000003</v>
      </c>
      <c r="AG10" s="16"/>
      <c r="AH10" s="45"/>
      <c r="AI10" s="43"/>
      <c r="AJ10" s="16"/>
      <c r="AK10" s="16"/>
      <c r="AL10" s="16"/>
      <c r="AM10" s="12"/>
      <c r="AN10" s="113"/>
      <c r="AO10" s="12">
        <v>0.79</v>
      </c>
      <c r="AP10" s="12"/>
      <c r="AQ10" s="16"/>
      <c r="AR10" s="16"/>
      <c r="AS10" s="16"/>
      <c r="AT10" s="45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SUM(B9,B10)</f>
        <v>33.85</v>
      </c>
      <c r="C11" s="30">
        <f>B11/AVERAGE($M11,$N11)</f>
        <v>0.89278649610971916</v>
      </c>
      <c r="D11" s="52">
        <f>SUM(D9,D10)</f>
        <v>33.159999999999997</v>
      </c>
      <c r="E11" s="30">
        <f>D11/AVERAGE($M11,$N11)</f>
        <v>0.87458789397336134</v>
      </c>
      <c r="F11" s="52">
        <f>SUM(F9,F10)</f>
        <v>31.85</v>
      </c>
      <c r="G11" s="30">
        <f>F11/AVERAGE($M11,$N11)</f>
        <v>0.84003692469998692</v>
      </c>
      <c r="H11" s="34"/>
      <c r="I11" s="274">
        <f>AVERAGE(B11,D11)</f>
        <v>33.504999999999995</v>
      </c>
      <c r="J11" s="30">
        <f>STDEV(B11,D11,F11)/I11</f>
        <v>3.0320561529250094E-2</v>
      </c>
      <c r="K11" s="19"/>
      <c r="L11" s="136">
        <f t="shared" ref="L11:Q11" si="0">SUM(L9,L10)</f>
        <v>39.03</v>
      </c>
      <c r="M11" s="136">
        <f t="shared" si="0"/>
        <v>40.019999999999996</v>
      </c>
      <c r="N11" s="136">
        <f t="shared" si="0"/>
        <v>35.81</v>
      </c>
      <c r="O11" s="136">
        <f t="shared" si="0"/>
        <v>41.010000000000005</v>
      </c>
      <c r="P11" s="136">
        <f t="shared" si="0"/>
        <v>39.760000000000005</v>
      </c>
      <c r="Q11" s="136">
        <f t="shared" si="0"/>
        <v>37.33</v>
      </c>
      <c r="R11" s="141">
        <f>AVERAGE(L11,M11,N11,O11,P11,Q11)</f>
        <v>38.826666666666661</v>
      </c>
      <c r="S11" s="54">
        <f>ABS(L11-O11)/AVERAGE(O11,L11)</f>
        <v>4.9475262368815685E-2</v>
      </c>
      <c r="T11" s="38"/>
      <c r="U11" s="38"/>
      <c r="V11" s="16"/>
      <c r="W11" s="13">
        <f t="shared" ref="W11:AF11" si="1">SUM(W9,W10)</f>
        <v>12.129999999999999</v>
      </c>
      <c r="X11" s="12">
        <f t="shared" si="1"/>
        <v>12.129999999999999</v>
      </c>
      <c r="Y11" s="13">
        <f t="shared" si="1"/>
        <v>15.190000000000001</v>
      </c>
      <c r="Z11" s="12">
        <f t="shared" si="1"/>
        <v>15.190000000000001</v>
      </c>
      <c r="AA11" s="13">
        <f t="shared" si="1"/>
        <v>37.46</v>
      </c>
      <c r="AB11" s="12">
        <f t="shared" si="1"/>
        <v>37.46</v>
      </c>
      <c r="AC11" s="13">
        <f t="shared" si="1"/>
        <v>44.03</v>
      </c>
      <c r="AD11" s="12">
        <f t="shared" si="1"/>
        <v>44.03</v>
      </c>
      <c r="AE11" s="13">
        <f t="shared" si="1"/>
        <v>57.460000000000008</v>
      </c>
      <c r="AF11" s="12">
        <f t="shared" si="1"/>
        <v>57.460000000000008</v>
      </c>
      <c r="AG11" s="16"/>
      <c r="AH11" s="45"/>
      <c r="AI11" s="43"/>
      <c r="AJ11" s="16"/>
      <c r="AK11" s="16"/>
      <c r="AL11" s="16"/>
      <c r="AM11" s="12"/>
      <c r="AN11" s="113"/>
      <c r="AO11" s="12"/>
      <c r="AP11" s="12"/>
      <c r="AQ11" s="16"/>
      <c r="AR11" s="19"/>
      <c r="AS11" s="16"/>
      <c r="AT11" s="45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275">
        <f t="shared" ref="L12:R12" si="2">(L8+L11)/2</f>
        <v>39.045000000000002</v>
      </c>
      <c r="M12" s="55">
        <f t="shared" si="2"/>
        <v>40.97</v>
      </c>
      <c r="N12" s="275">
        <f t="shared" si="2"/>
        <v>39.135000000000005</v>
      </c>
      <c r="O12" s="275">
        <f t="shared" si="2"/>
        <v>39.975000000000001</v>
      </c>
      <c r="P12" s="275">
        <f t="shared" si="2"/>
        <v>40.725000000000001</v>
      </c>
      <c r="Q12" s="275">
        <f t="shared" si="2"/>
        <v>40.465000000000003</v>
      </c>
      <c r="R12" s="275">
        <f t="shared" si="2"/>
        <v>40.052499999999995</v>
      </c>
      <c r="S12" s="55"/>
      <c r="T12" s="37"/>
      <c r="U12" s="37"/>
      <c r="V12" s="19"/>
      <c r="W12" s="31"/>
      <c r="X12" s="31">
        <f>X11/W13</f>
        <v>1.2129999999999999</v>
      </c>
      <c r="Y12" s="31"/>
      <c r="Z12" s="31">
        <f>Z11/Y13</f>
        <v>0.75950000000000006</v>
      </c>
      <c r="AA12" s="31"/>
      <c r="AB12" s="31">
        <f>AB11/AA13</f>
        <v>0.9365</v>
      </c>
      <c r="AC12" s="31"/>
      <c r="AD12" s="31">
        <f>AD11/AC13</f>
        <v>0.73383333333333334</v>
      </c>
      <c r="AE12" s="31"/>
      <c r="AF12" s="31">
        <f>AF11/AE13</f>
        <v>0.71825000000000006</v>
      </c>
      <c r="AG12" s="21"/>
      <c r="AH12" s="21"/>
      <c r="AI12" s="20"/>
      <c r="AJ12" s="37"/>
      <c r="AK12" s="73"/>
      <c r="AL12" s="21"/>
      <c r="AM12" s="31"/>
      <c r="AN12" s="114"/>
      <c r="AO12" s="164"/>
      <c r="AP12" s="31"/>
      <c r="AQ12" s="73"/>
      <c r="AR12" s="21"/>
      <c r="AS12" s="73"/>
      <c r="AT12" s="45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>
        <v>40</v>
      </c>
      <c r="S13" s="55"/>
      <c r="T13" s="37"/>
      <c r="U13" s="37"/>
      <c r="V13" s="19"/>
      <c r="W13" s="32">
        <v>10</v>
      </c>
      <c r="X13" s="32"/>
      <c r="Y13" s="32">
        <v>20</v>
      </c>
      <c r="Z13" s="32"/>
      <c r="AA13" s="32">
        <v>40</v>
      </c>
      <c r="AB13" s="32"/>
      <c r="AC13" s="32">
        <v>60</v>
      </c>
      <c r="AD13" s="32"/>
      <c r="AE13" s="32">
        <v>80</v>
      </c>
      <c r="AF13" s="32"/>
      <c r="AG13" s="22"/>
      <c r="AH13" s="22"/>
      <c r="AI13" s="44"/>
      <c r="AJ13" s="22"/>
      <c r="AK13" s="22"/>
      <c r="AL13" s="22"/>
      <c r="AM13" s="32"/>
      <c r="AN13" s="115"/>
      <c r="AO13" s="165"/>
      <c r="AP13" s="3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30">
        <f>ABS(B11-B13)/B13</f>
        <v>0.15374999999999997</v>
      </c>
      <c r="C14" s="33"/>
      <c r="D14" s="30">
        <f>ABS(D11-D13)/D13</f>
        <v>0.1710000000000001</v>
      </c>
      <c r="E14" s="34"/>
      <c r="F14" s="30">
        <f>ABS(F11-F13)/F13</f>
        <v>0.20374999999999996</v>
      </c>
      <c r="G14" s="34"/>
      <c r="H14" s="34"/>
      <c r="I14" s="34"/>
      <c r="J14" s="34"/>
      <c r="K14" s="38"/>
      <c r="L14" s="30">
        <f t="shared" ref="L14:R14" si="3">(L12-L13)/L13</f>
        <v>-2.3874999999999959E-2</v>
      </c>
      <c r="M14" s="30">
        <f t="shared" si="3"/>
        <v>2.4249999999999973E-2</v>
      </c>
      <c r="N14" s="30">
        <f t="shared" si="3"/>
        <v>-2.1624999999999873E-2</v>
      </c>
      <c r="O14" s="30">
        <f t="shared" si="3"/>
        <v>-6.2499999999996445E-4</v>
      </c>
      <c r="P14" s="30">
        <f t="shared" si="3"/>
        <v>1.8125000000000037E-2</v>
      </c>
      <c r="Q14" s="30">
        <f t="shared" si="3"/>
        <v>1.1625000000000085E-2</v>
      </c>
      <c r="R14" s="30">
        <f t="shared" si="3"/>
        <v>1.3124999999998721E-3</v>
      </c>
      <c r="S14" s="56"/>
      <c r="T14" s="19"/>
      <c r="U14" s="19"/>
      <c r="V14" s="19"/>
      <c r="W14" s="49">
        <f>ABS(X11-W13)/W13</f>
        <v>0.21299999999999991</v>
      </c>
      <c r="X14" s="23"/>
      <c r="Y14" s="49">
        <f>ABS(Z11-Y13)/Y13</f>
        <v>0.24049999999999994</v>
      </c>
      <c r="Z14" s="38"/>
      <c r="AA14" s="49">
        <f>ABS(AB11-AA13)/AA13</f>
        <v>6.3499999999999973E-2</v>
      </c>
      <c r="AB14" s="38"/>
      <c r="AC14" s="49">
        <f>ABS(AD11-AC13)/AC13</f>
        <v>0.26616666666666666</v>
      </c>
      <c r="AD14" s="38"/>
      <c r="AE14" s="49">
        <f>ABS(AF11-AE13)/AE13</f>
        <v>0.28174999999999989</v>
      </c>
      <c r="AF14" s="38"/>
      <c r="AG14" s="38"/>
      <c r="AH14" s="38"/>
      <c r="AI14" s="16"/>
      <c r="AJ14" s="38"/>
      <c r="AK14" s="23"/>
      <c r="AL14" s="38"/>
      <c r="AM14" s="38"/>
      <c r="AN14" s="38"/>
      <c r="AO14" s="38"/>
      <c r="AP14" s="38"/>
      <c r="AQ14" s="38"/>
      <c r="AR14" s="38"/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9"/>
      <c r="M15" s="19"/>
      <c r="N15" s="19"/>
      <c r="O15" s="19"/>
      <c r="P15" s="19"/>
      <c r="Q15" s="1"/>
      <c r="U15" s="35"/>
      <c r="V15" s="142" t="s">
        <v>129</v>
      </c>
      <c r="W15" s="170">
        <f>AVERAGE(X22,X11)</f>
        <v>8.5249999999999986</v>
      </c>
      <c r="X15" s="71"/>
      <c r="Y15" s="170">
        <f>AVERAGE(Z11,Z22)</f>
        <v>16.670000000000002</v>
      </c>
      <c r="Z15" s="71"/>
      <c r="AA15" s="170">
        <f>AVERAGE(AB11,AB22)</f>
        <v>33.174999999999997</v>
      </c>
      <c r="AB15" s="71"/>
      <c r="AC15" s="170">
        <f>AVERAGE(AD11,AD22)</f>
        <v>36.94</v>
      </c>
      <c r="AD15" s="71"/>
      <c r="AE15" s="170">
        <f>AVERAGE(AF11,AF22)</f>
        <v>60.155000000000001</v>
      </c>
      <c r="AF15" s="16"/>
      <c r="AG15" s="16"/>
      <c r="AH15" s="16"/>
      <c r="AI15" s="149"/>
      <c r="AJ15" s="167"/>
      <c r="AK15" s="16"/>
      <c r="AL15" s="167"/>
      <c r="AM15" s="16"/>
      <c r="AN15" s="167"/>
      <c r="AO15" s="16"/>
      <c r="AP15" s="167"/>
      <c r="AQ15" s="16"/>
      <c r="AR15" s="167"/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9"/>
      <c r="M16" s="19"/>
      <c r="N16" s="19"/>
      <c r="O16" s="19"/>
      <c r="P16" s="19"/>
      <c r="Q16" s="3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1"/>
      <c r="L17" s="157"/>
      <c r="M17" s="157"/>
      <c r="N17" s="157"/>
      <c r="O17" s="158"/>
      <c r="P17" s="157"/>
      <c r="Q17" s="57"/>
      <c r="R17" s="17"/>
      <c r="S17" s="18"/>
      <c r="T17" s="60"/>
      <c r="U17" s="18"/>
      <c r="V17" s="18"/>
      <c r="W17" s="24" t="s">
        <v>246</v>
      </c>
      <c r="X17" s="25" t="s">
        <v>16</v>
      </c>
      <c r="Y17" s="26" t="s">
        <v>247</v>
      </c>
      <c r="Z17" s="25" t="s">
        <v>16</v>
      </c>
      <c r="AA17" s="26" t="s">
        <v>248</v>
      </c>
      <c r="AB17" s="25" t="s">
        <v>16</v>
      </c>
      <c r="AC17" s="26" t="s">
        <v>250</v>
      </c>
      <c r="AD17" s="25" t="s">
        <v>16</v>
      </c>
      <c r="AE17" s="26" t="s">
        <v>251</v>
      </c>
      <c r="AF17" s="25" t="s">
        <v>16</v>
      </c>
      <c r="AG17" s="17"/>
      <c r="AH17" s="17"/>
      <c r="AI17" s="18"/>
      <c r="AJ17" s="17"/>
      <c r="AK17" s="18"/>
      <c r="AL17" s="60"/>
      <c r="AM17" s="18"/>
      <c r="AN17" s="60"/>
      <c r="AO17" s="18"/>
      <c r="AP17" s="60"/>
      <c r="AQ17" s="18"/>
      <c r="AR17" s="60"/>
      <c r="AS17" s="18"/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ht="15.75" x14ac:dyDescent="0.25">
      <c r="B18" s="12" t="s">
        <v>158</v>
      </c>
      <c r="C18" s="29" t="e">
        <f>B18/AVERAGE($Q7,$P7)</f>
        <v>#VALUE!</v>
      </c>
      <c r="D18" s="12" t="s">
        <v>158</v>
      </c>
      <c r="E18" s="29" t="e">
        <f>D18/AVERAGE($Q7,$P7)</f>
        <v>#VALUE!</v>
      </c>
      <c r="F18" s="12" t="s">
        <v>158</v>
      </c>
      <c r="G18" s="29" t="e">
        <f>F18/AVERAGE($Q7,$P7)</f>
        <v>#VALUE!</v>
      </c>
      <c r="H18" s="33"/>
      <c r="I18" s="12" t="e">
        <f>AVERAGE(F18,D18,B18)</f>
        <v>#DIV/0!</v>
      </c>
      <c r="J18" s="30" t="e">
        <f>STDEV(D18,F18)/I18</f>
        <v>#DIV/0!</v>
      </c>
      <c r="K18" s="1"/>
      <c r="L18" s="16"/>
      <c r="M18" s="16"/>
      <c r="N18" s="16"/>
      <c r="O18" s="159"/>
      <c r="P18" s="160"/>
      <c r="Q18" s="58"/>
      <c r="R18" s="16"/>
      <c r="S18" s="23"/>
      <c r="T18" s="16"/>
      <c r="U18" s="23"/>
      <c r="V18" s="16"/>
      <c r="W18" s="12" t="s">
        <v>159</v>
      </c>
      <c r="X18" s="29" t="e">
        <f>W18/AVERAGE($Q7,$P7)</f>
        <v>#VALUE!</v>
      </c>
      <c r="Y18" s="12" t="s">
        <v>159</v>
      </c>
      <c r="Z18" s="29" t="e">
        <f>Y18/AVERAGE($Q7,$P7)</f>
        <v>#VALUE!</v>
      </c>
      <c r="AA18" s="12" t="s">
        <v>158</v>
      </c>
      <c r="AB18" s="29" t="e">
        <f>AA18/AVERAGE($Q7,$P7)</f>
        <v>#VALUE!</v>
      </c>
      <c r="AC18" s="12" t="s">
        <v>158</v>
      </c>
      <c r="AD18" s="29" t="e">
        <f>AC18/AVERAGE($Q7,$P7)</f>
        <v>#VALUE!</v>
      </c>
      <c r="AE18" s="12" t="s">
        <v>158</v>
      </c>
      <c r="AF18" s="29" t="e">
        <f>AE18/AVERAGE($Q7,$P7)</f>
        <v>#VALUE!</v>
      </c>
      <c r="AG18" s="16"/>
      <c r="AH18" s="38"/>
      <c r="AI18" s="20"/>
      <c r="AJ18" s="16"/>
      <c r="AK18" s="23"/>
      <c r="AL18" s="16"/>
      <c r="AM18" s="23"/>
      <c r="AN18" s="16"/>
      <c r="AO18" s="23"/>
      <c r="AP18" s="16"/>
      <c r="AQ18" s="23"/>
      <c r="AR18" s="16"/>
      <c r="AS18" s="23"/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ht="15.75" x14ac:dyDescent="0.25">
      <c r="B19" s="12">
        <v>35.979999999999997</v>
      </c>
      <c r="C19" s="30">
        <f>B19/AVERAGE($Q8,$P8)</f>
        <v>0.84370969633016768</v>
      </c>
      <c r="D19" s="12">
        <v>36.700000000000003</v>
      </c>
      <c r="E19" s="30">
        <f>D19/AVERAGE($Q8,$P8)</f>
        <v>0.86059327001993213</v>
      </c>
      <c r="F19" s="12">
        <v>32.33</v>
      </c>
      <c r="G19" s="30">
        <f>F19/AVERAGE($Q8,$P8)</f>
        <v>0.7581193574862235</v>
      </c>
      <c r="H19" s="34"/>
      <c r="I19" s="280">
        <f>AVERAGE(F19,D19,B19)</f>
        <v>35.00333333333333</v>
      </c>
      <c r="J19" s="30">
        <f>STDEV(B19,F19)/I19</f>
        <v>7.3734113455791755E-2</v>
      </c>
      <c r="K19" s="11"/>
      <c r="L19" s="16"/>
      <c r="M19" s="16"/>
      <c r="N19" s="16"/>
      <c r="O19" s="159"/>
      <c r="P19" s="160"/>
      <c r="Q19" s="58"/>
      <c r="R19" s="16"/>
      <c r="S19" s="38"/>
      <c r="T19" s="16"/>
      <c r="U19" s="38"/>
      <c r="V19" s="16"/>
      <c r="W19" s="12">
        <v>69.540000000000006</v>
      </c>
      <c r="X19" s="30">
        <f>W19*0.5/AVERAGE($O$8,$P$8)</f>
        <v>0.8624581421307207</v>
      </c>
      <c r="Y19" s="12">
        <v>66.319999999999993</v>
      </c>
      <c r="Z19" s="30">
        <f>Y19*0.5/AVERAGE($O$8,$P$8)</f>
        <v>0.82252263425523997</v>
      </c>
      <c r="AA19" s="12">
        <v>60.11</v>
      </c>
      <c r="AB19" s="30">
        <f>AA19*0.5/AVERAGE($O$8,$P$8)</f>
        <v>0.74550415478109888</v>
      </c>
      <c r="AC19" s="12">
        <v>72.86</v>
      </c>
      <c r="AD19" s="30">
        <f>AC19*0.5/AVERAGE($O$8,$P$8)</f>
        <v>0.90363388317003601</v>
      </c>
      <c r="AE19" s="12">
        <v>72.17</v>
      </c>
      <c r="AF19" s="169">
        <f>AE19*0.5/AVERAGE($M$8,$N$8)</f>
        <v>0.85529746385399386</v>
      </c>
      <c r="AG19" s="16"/>
      <c r="AH19" s="23"/>
      <c r="AI19" s="20"/>
      <c r="AJ19" s="16"/>
      <c r="AK19" s="38"/>
      <c r="AL19" s="16"/>
      <c r="AM19" s="38"/>
      <c r="AN19" s="16"/>
      <c r="AO19" s="38"/>
      <c r="AP19" s="16"/>
      <c r="AQ19" s="38"/>
      <c r="AR19" s="16"/>
      <c r="AS19" s="38"/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ht="15.75" x14ac:dyDescent="0.25">
      <c r="A20" t="s">
        <v>0</v>
      </c>
      <c r="B20" s="12">
        <v>10.9</v>
      </c>
      <c r="C20" s="30">
        <f>B20/AVERAGE($Q9,$P9)</f>
        <v>0.86200079082641368</v>
      </c>
      <c r="D20" s="12">
        <v>11.13</v>
      </c>
      <c r="E20" s="30">
        <f>D20/AVERAGE($Q9,$P9)</f>
        <v>0.88018979833926458</v>
      </c>
      <c r="F20" s="12">
        <v>10.23</v>
      </c>
      <c r="G20" s="30">
        <f>F20/AVERAGE($Q9,$P9)</f>
        <v>0.8090154211150653</v>
      </c>
      <c r="H20" s="34"/>
      <c r="I20" s="274">
        <f>AVERAGE(F20,D20,B20)</f>
        <v>10.753333333333332</v>
      </c>
      <c r="J20" s="30">
        <f>STDEV(B20,F20)/I20</f>
        <v>4.4057180104927478E-2</v>
      </c>
      <c r="L20" s="16"/>
      <c r="M20" s="16"/>
      <c r="N20" s="16"/>
      <c r="O20" s="159"/>
      <c r="P20" s="160"/>
      <c r="Q20" s="58"/>
      <c r="R20" s="16"/>
      <c r="S20" s="16"/>
      <c r="T20" s="16"/>
      <c r="U20" s="16"/>
      <c r="V20" s="16"/>
      <c r="W20" s="12">
        <v>2.2999999999999998</v>
      </c>
      <c r="X20" s="12">
        <f>W20</f>
        <v>2.2999999999999998</v>
      </c>
      <c r="Y20" s="12">
        <v>7.23</v>
      </c>
      <c r="Z20" s="12">
        <v>7.23</v>
      </c>
      <c r="AA20" s="12">
        <v>12.89</v>
      </c>
      <c r="AB20" s="12">
        <v>12.89</v>
      </c>
      <c r="AC20" s="12">
        <v>13.09</v>
      </c>
      <c r="AD20" s="12">
        <v>13.09</v>
      </c>
      <c r="AE20" s="12">
        <v>21.23</v>
      </c>
      <c r="AF20" s="12">
        <v>21.23</v>
      </c>
      <c r="AG20" s="16"/>
      <c r="AH20" s="45"/>
      <c r="AI20" s="43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ht="15.75" x14ac:dyDescent="0.25">
      <c r="B21" s="12">
        <v>24.03</v>
      </c>
      <c r="C21" s="30">
        <f>B21/AVERAGE($Q10,$P10)</f>
        <v>0.92779922779922785</v>
      </c>
      <c r="D21" s="12">
        <v>21.82</v>
      </c>
      <c r="E21" s="30">
        <f>D21/AVERAGE($Q10,$P10)</f>
        <v>0.84247104247104254</v>
      </c>
      <c r="F21" s="12">
        <v>21.22</v>
      </c>
      <c r="G21" s="30">
        <f>F21/AVERAGE($Q10,$P10)</f>
        <v>0.81930501930501931</v>
      </c>
      <c r="H21" s="34"/>
      <c r="I21" s="274">
        <f>AVERAGE(F21,D21,B21)</f>
        <v>22.356666666666666</v>
      </c>
      <c r="J21" s="30">
        <f>STDEV(B21,F21)/I21</f>
        <v>8.8875952965597152E-2</v>
      </c>
      <c r="L21" s="16"/>
      <c r="M21" s="16"/>
      <c r="N21" s="16"/>
      <c r="O21" s="159"/>
      <c r="P21" s="160"/>
      <c r="Q21" s="58"/>
      <c r="R21" s="16"/>
      <c r="S21" s="16"/>
      <c r="T21" s="16"/>
      <c r="U21" s="16"/>
      <c r="V21" s="16"/>
      <c r="W21" s="12">
        <v>2.62</v>
      </c>
      <c r="X21" s="12">
        <v>2.62</v>
      </c>
      <c r="Y21" s="12">
        <v>10.92</v>
      </c>
      <c r="Z21" s="12">
        <v>10.92</v>
      </c>
      <c r="AA21" s="12">
        <v>16</v>
      </c>
      <c r="AB21" s="12">
        <v>16</v>
      </c>
      <c r="AC21" s="12">
        <v>16.760000000000002</v>
      </c>
      <c r="AD21" s="12">
        <v>16.760000000000002</v>
      </c>
      <c r="AE21" s="12">
        <v>41.62</v>
      </c>
      <c r="AF21" s="12">
        <v>41.62</v>
      </c>
      <c r="AG21" s="16"/>
      <c r="AH21" s="45"/>
      <c r="AI21" s="43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52">
        <f>SUM(B20,B21)</f>
        <v>34.93</v>
      </c>
      <c r="C22" s="30">
        <f>B22/AVERAGE($Q11,$P11)</f>
        <v>0.90621351666882854</v>
      </c>
      <c r="D22" s="52">
        <f>SUM(D20,D21)</f>
        <v>32.950000000000003</v>
      </c>
      <c r="E22" s="30">
        <f>D22/AVERAGE($Q11,$P11)</f>
        <v>0.85484498637955642</v>
      </c>
      <c r="F22" s="52">
        <f>SUM(F20,F21)</f>
        <v>31.45</v>
      </c>
      <c r="G22" s="30">
        <f>F22/AVERAGE($Q11,$P11)</f>
        <v>0.81592943313010757</v>
      </c>
      <c r="H22" s="34"/>
      <c r="I22" s="12">
        <f>AVERAGE(F22,D22,B22)</f>
        <v>33.110000000000007</v>
      </c>
      <c r="J22" s="30">
        <f>STDEV(B22,F22)/I22</f>
        <v>7.4319891227097104E-2</v>
      </c>
      <c r="L22" s="161"/>
      <c r="M22" s="161"/>
      <c r="N22" s="161"/>
      <c r="O22" s="159"/>
      <c r="P22" s="160"/>
      <c r="Q22" s="58"/>
      <c r="R22" s="19"/>
      <c r="S22" s="19"/>
      <c r="T22" s="19"/>
      <c r="U22" s="19"/>
      <c r="V22" s="16"/>
      <c r="W22" s="13">
        <f t="shared" ref="W22:AF22" si="4">SUM(W20,W21)</f>
        <v>4.92</v>
      </c>
      <c r="X22" s="12">
        <f t="shared" si="4"/>
        <v>4.92</v>
      </c>
      <c r="Y22" s="13">
        <f t="shared" si="4"/>
        <v>18.149999999999999</v>
      </c>
      <c r="Z22" s="12">
        <f t="shared" si="4"/>
        <v>18.149999999999999</v>
      </c>
      <c r="AA22" s="13">
        <f t="shared" si="4"/>
        <v>28.89</v>
      </c>
      <c r="AB22" s="12">
        <f t="shared" si="4"/>
        <v>28.89</v>
      </c>
      <c r="AC22" s="13">
        <f t="shared" si="4"/>
        <v>29.85</v>
      </c>
      <c r="AD22" s="12">
        <f t="shared" si="4"/>
        <v>29.85</v>
      </c>
      <c r="AE22" s="13">
        <f t="shared" si="4"/>
        <v>62.849999999999994</v>
      </c>
      <c r="AF22" s="12">
        <f t="shared" si="4"/>
        <v>62.849999999999994</v>
      </c>
      <c r="AG22" s="16"/>
      <c r="AH22" s="45"/>
      <c r="AI22" s="43"/>
      <c r="AJ22" s="16"/>
      <c r="AK22" s="16"/>
      <c r="AL22" s="16"/>
      <c r="AM22" s="16"/>
      <c r="AN22" s="19"/>
      <c r="AO22" s="16"/>
      <c r="AP22" s="19"/>
      <c r="AQ22" s="16"/>
      <c r="AR22" s="19"/>
      <c r="AS22" s="16"/>
      <c r="AT22" s="21"/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ht="15.75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L23" s="162"/>
      <c r="M23" s="162"/>
      <c r="N23" s="162"/>
      <c r="O23" s="162"/>
      <c r="P23" s="162"/>
      <c r="Q23" s="37"/>
      <c r="R23" s="21"/>
      <c r="S23" s="73"/>
      <c r="T23" s="21"/>
      <c r="U23" s="73"/>
      <c r="V23" s="19"/>
      <c r="W23" s="31"/>
      <c r="X23" s="31">
        <f>X22/W24</f>
        <v>0.49199999999999999</v>
      </c>
      <c r="Y23" s="31"/>
      <c r="Z23" s="31">
        <f>Z22/Y24</f>
        <v>0.90749999999999997</v>
      </c>
      <c r="AA23" s="31"/>
      <c r="AB23" s="31">
        <f>AB22/AA24</f>
        <v>0.72225000000000006</v>
      </c>
      <c r="AC23" s="31"/>
      <c r="AD23" s="31">
        <f>AD22/AC24</f>
        <v>0.4975</v>
      </c>
      <c r="AE23" s="31"/>
      <c r="AF23" s="31">
        <f>AF22/AE24</f>
        <v>0.78562499999999991</v>
      </c>
      <c r="AG23" s="21"/>
      <c r="AH23" s="21"/>
      <c r="AI23" s="20"/>
      <c r="AJ23" s="21"/>
      <c r="AK23" s="73"/>
      <c r="AL23" s="21"/>
      <c r="AM23" s="73"/>
      <c r="AN23" s="21"/>
      <c r="AO23" s="73"/>
      <c r="AP23" s="21"/>
      <c r="AQ23" s="73"/>
      <c r="AR23" s="21"/>
      <c r="AS23" s="73"/>
      <c r="AT23" s="45"/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ht="15.75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L24" s="162"/>
      <c r="M24" s="162"/>
      <c r="N24" s="162"/>
      <c r="O24" s="162"/>
      <c r="P24" s="162"/>
      <c r="Q24" s="37"/>
      <c r="R24" s="22"/>
      <c r="S24" s="22"/>
      <c r="T24" s="22"/>
      <c r="U24" s="22"/>
      <c r="V24" s="19"/>
      <c r="W24" s="32">
        <v>10</v>
      </c>
      <c r="X24" s="32"/>
      <c r="Y24" s="32">
        <v>20</v>
      </c>
      <c r="Z24" s="32"/>
      <c r="AA24" s="32">
        <v>40</v>
      </c>
      <c r="AB24" s="32"/>
      <c r="AC24" s="32">
        <v>60</v>
      </c>
      <c r="AD24" s="32"/>
      <c r="AE24" s="32">
        <v>80</v>
      </c>
      <c r="AF24" s="32"/>
      <c r="AG24" s="22"/>
      <c r="AH24" s="22"/>
      <c r="AI24" s="44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ht="15.75" x14ac:dyDescent="0.25">
      <c r="A25" t="s">
        <v>2</v>
      </c>
      <c r="B25" s="30">
        <f>ABS(B22-B24)/B24</f>
        <v>0.12675</v>
      </c>
      <c r="C25" s="33"/>
      <c r="D25" s="30">
        <f>ABS(D22-D24)/D24</f>
        <v>0.17624999999999993</v>
      </c>
      <c r="E25" s="34"/>
      <c r="F25" s="30">
        <f>ABS(F22-F24)/F24</f>
        <v>0.21375000000000002</v>
      </c>
      <c r="G25" s="34"/>
      <c r="H25" s="34"/>
      <c r="I25" s="34"/>
      <c r="J25" s="34"/>
      <c r="L25" s="38"/>
      <c r="M25" s="38"/>
      <c r="N25" s="38"/>
      <c r="O25" s="38"/>
      <c r="P25" s="163"/>
      <c r="Q25" s="23"/>
      <c r="R25" s="38"/>
      <c r="S25" s="23"/>
      <c r="T25" s="38"/>
      <c r="U25" s="38"/>
      <c r="V25" s="19"/>
      <c r="W25" s="49">
        <f>ABS(X22-W24)/W24</f>
        <v>0.50800000000000001</v>
      </c>
      <c r="X25" s="49"/>
      <c r="Y25" s="49">
        <f>ABS(Z22-Y24)/Y24</f>
        <v>9.2500000000000068E-2</v>
      </c>
      <c r="Z25" s="49"/>
      <c r="AA25" s="49">
        <f>ABS(AB22-AA24)/AA24</f>
        <v>0.27775</v>
      </c>
      <c r="AB25" s="49"/>
      <c r="AC25" s="49">
        <f>ABS(AD22-AC24)/AC24</f>
        <v>0.50249999999999995</v>
      </c>
      <c r="AD25" s="38"/>
      <c r="AE25" s="49">
        <f>ABS(AF22-AE24)/AE24</f>
        <v>0.21437500000000007</v>
      </c>
      <c r="AF25" s="38"/>
      <c r="AG25" s="38"/>
      <c r="AH25" s="38"/>
      <c r="AI25" s="16"/>
      <c r="AJ25" s="38"/>
      <c r="AK25" s="23"/>
      <c r="AL25" s="38"/>
      <c r="AM25" s="38"/>
      <c r="AN25" s="38"/>
      <c r="AO25" s="38"/>
      <c r="AP25" s="38"/>
      <c r="AQ25" s="38"/>
      <c r="AR25" s="38"/>
      <c r="AS25" s="16"/>
      <c r="AT25" s="45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M26" s="35"/>
      <c r="N26" s="35"/>
      <c r="T26" s="35"/>
      <c r="AB26">
        <v>2</v>
      </c>
      <c r="AN26" t="s">
        <v>225</v>
      </c>
      <c r="AX26" s="35"/>
      <c r="AY26" s="35"/>
      <c r="AZ26" s="35"/>
      <c r="BA26" s="35"/>
      <c r="BB26" s="35"/>
      <c r="BC26" s="35"/>
    </row>
    <row r="27" spans="1:132" x14ac:dyDescent="0.25"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V28" s="16"/>
      <c r="W28" s="17"/>
      <c r="X28" s="18"/>
      <c r="Y28" s="60"/>
      <c r="Z28" s="18"/>
      <c r="AA28" s="16"/>
      <c r="AB28" s="16"/>
      <c r="AC28" s="16"/>
      <c r="AD28" s="16"/>
      <c r="AE28" s="16"/>
      <c r="AF28" s="16"/>
      <c r="AG28" s="16"/>
    </row>
    <row r="29" spans="1:132" x14ac:dyDescent="0.25">
      <c r="A29" t="s">
        <v>3</v>
      </c>
      <c r="V29" s="16"/>
      <c r="W29" s="16"/>
      <c r="X29" s="23"/>
      <c r="Y29" s="16"/>
      <c r="Z29" s="23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38"/>
      <c r="Y30" s="16"/>
      <c r="Z30" s="38"/>
      <c r="AA30" s="16"/>
      <c r="AB30" s="16"/>
      <c r="AC30" s="16"/>
      <c r="AD30" s="16"/>
      <c r="AE30" s="16"/>
      <c r="AF30" s="16"/>
      <c r="AG30" s="16"/>
    </row>
    <row r="31" spans="1:132" x14ac:dyDescent="0.25">
      <c r="A31" t="s">
        <v>24</v>
      </c>
      <c r="V31" s="16"/>
      <c r="W31" s="16"/>
      <c r="X31" s="16"/>
      <c r="Y31" s="16"/>
      <c r="Z31" s="16"/>
      <c r="AA31" s="60"/>
      <c r="AB31" s="18"/>
      <c r="AC31" s="60"/>
      <c r="AD31" s="18"/>
      <c r="AE31" s="60"/>
      <c r="AF31" s="18"/>
      <c r="AG31" s="16"/>
    </row>
    <row r="32" spans="1:132" x14ac:dyDescent="0.25">
      <c r="A32" t="s">
        <v>25</v>
      </c>
      <c r="V32" s="16"/>
      <c r="W32" s="16"/>
      <c r="X32" s="16"/>
      <c r="Y32" s="16"/>
      <c r="Z32" s="16"/>
      <c r="AA32" s="16"/>
      <c r="AB32" s="23"/>
      <c r="AC32" s="16"/>
      <c r="AD32" s="23"/>
      <c r="AE32" s="16"/>
      <c r="AF32" s="23"/>
      <c r="AG32" s="16"/>
    </row>
    <row r="33" spans="1:33" x14ac:dyDescent="0.25">
      <c r="V33" s="16"/>
      <c r="W33" s="19"/>
      <c r="X33" s="19"/>
      <c r="Y33" s="19"/>
      <c r="Z33" s="19"/>
      <c r="AA33" s="16"/>
      <c r="AB33" s="38"/>
      <c r="AC33" s="16"/>
      <c r="AD33" s="23"/>
      <c r="AE33" s="16"/>
      <c r="AF33" s="23"/>
      <c r="AG33" s="16"/>
    </row>
    <row r="34" spans="1:33" x14ac:dyDescent="0.25">
      <c r="A34" t="s">
        <v>23</v>
      </c>
      <c r="V34" s="16"/>
      <c r="W34" s="21"/>
      <c r="X34" s="73"/>
      <c r="Y34" s="21"/>
      <c r="Z34" s="73"/>
      <c r="AA34" s="16"/>
      <c r="AB34" s="16"/>
      <c r="AC34" s="16"/>
      <c r="AD34" s="16"/>
      <c r="AE34" s="16"/>
      <c r="AF34" s="16"/>
      <c r="AG34" s="16"/>
    </row>
    <row r="35" spans="1:33" x14ac:dyDescent="0.25">
      <c r="A35" t="s">
        <v>18</v>
      </c>
      <c r="V35" s="16"/>
      <c r="W35" s="22"/>
      <c r="X35" s="22"/>
      <c r="Y35" s="22"/>
      <c r="Z35" s="22"/>
      <c r="AA35" s="16"/>
      <c r="AB35" s="16"/>
      <c r="AC35" s="16"/>
      <c r="AD35" s="16"/>
      <c r="AE35" s="16"/>
      <c r="AF35" s="16"/>
      <c r="AG35" s="16"/>
    </row>
    <row r="36" spans="1:33" x14ac:dyDescent="0.25">
      <c r="V36" s="16"/>
      <c r="W36" s="38"/>
      <c r="X36" s="23"/>
      <c r="Y36" s="38"/>
      <c r="Z36" s="38"/>
      <c r="AA36" s="19"/>
      <c r="AB36" s="16"/>
      <c r="AC36" s="19"/>
      <c r="AD36" s="16"/>
      <c r="AE36" s="19"/>
      <c r="AF36" s="16"/>
      <c r="AG36" s="16"/>
    </row>
    <row r="37" spans="1:33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1:33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33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</row>
    <row r="40" spans="1:33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33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</row>
    <row r="43" spans="1:33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</row>
    <row r="44" spans="1:33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</row>
    <row r="45" spans="1:33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</row>
    <row r="49" spans="22:33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</row>
    <row r="50" spans="22:33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7" tint="-0.249977111117893"/>
  </sheetPr>
  <dimension ref="A1:T27"/>
  <sheetViews>
    <sheetView topLeftCell="A2" zoomScale="60" zoomScaleNormal="60" workbookViewId="0">
      <selection activeCell="H4" sqref="H4"/>
    </sheetView>
  </sheetViews>
  <sheetFormatPr defaultRowHeight="15" x14ac:dyDescent="0.25"/>
  <cols>
    <col min="1" max="1" width="15.28515625" customWidth="1"/>
    <col min="2" max="3" width="12.140625" customWidth="1"/>
    <col min="4" max="4" width="10.28515625" customWidth="1"/>
    <col min="8" max="8" width="10.85546875" customWidth="1"/>
    <col min="9" max="9" width="12.7109375" customWidth="1"/>
    <col min="10" max="10" width="12.5703125" customWidth="1"/>
    <col min="11" max="11" width="9.28515625" customWidth="1"/>
  </cols>
  <sheetData>
    <row r="1" spans="1:20" ht="47.25" customHeight="1" x14ac:dyDescent="0.25">
      <c r="A1" s="117" t="s">
        <v>92</v>
      </c>
      <c r="B1" s="82"/>
      <c r="C1" s="76"/>
      <c r="D1" s="76"/>
      <c r="E1" s="76"/>
      <c r="F1" s="76"/>
      <c r="G1" s="76"/>
      <c r="H1" s="76"/>
      <c r="I1" s="76"/>
      <c r="J1" s="124" t="s">
        <v>88</v>
      </c>
      <c r="K1" s="81"/>
      <c r="L1" s="76"/>
      <c r="M1" s="76"/>
      <c r="N1" s="76"/>
      <c r="O1" s="35"/>
    </row>
    <row r="2" spans="1:20" ht="26.25" customHeight="1" x14ac:dyDescent="0.25">
      <c r="A2" s="75" t="s">
        <v>91</v>
      </c>
      <c r="B2" s="118" t="s">
        <v>34</v>
      </c>
      <c r="C2" s="118" t="s">
        <v>35</v>
      </c>
      <c r="D2" s="118" t="s">
        <v>83</v>
      </c>
      <c r="E2" s="118" t="s">
        <v>42</v>
      </c>
      <c r="F2" s="118" t="s">
        <v>43</v>
      </c>
      <c r="G2" s="118" t="s">
        <v>44</v>
      </c>
      <c r="H2" s="118" t="s">
        <v>87</v>
      </c>
      <c r="I2" s="118" t="s">
        <v>41</v>
      </c>
      <c r="J2" s="125" t="s">
        <v>252</v>
      </c>
      <c r="K2" s="125" t="s">
        <v>253</v>
      </c>
      <c r="L2" s="125" t="s">
        <v>254</v>
      </c>
      <c r="M2" s="125" t="s">
        <v>249</v>
      </c>
      <c r="N2" s="125" t="s">
        <v>255</v>
      </c>
      <c r="O2" s="125" t="s">
        <v>246</v>
      </c>
      <c r="P2" s="125" t="s">
        <v>247</v>
      </c>
      <c r="Q2" s="125" t="s">
        <v>248</v>
      </c>
      <c r="R2" s="125" t="s">
        <v>250</v>
      </c>
      <c r="S2" s="125" t="s">
        <v>251</v>
      </c>
      <c r="T2" s="85"/>
    </row>
    <row r="3" spans="1:20" ht="42" customHeight="1" x14ac:dyDescent="0.25">
      <c r="A3" s="75" t="s">
        <v>95</v>
      </c>
      <c r="B3" s="83" t="s">
        <v>82</v>
      </c>
      <c r="C3" s="83" t="s">
        <v>82</v>
      </c>
      <c r="D3" s="83" t="s">
        <v>82</v>
      </c>
      <c r="E3" s="83" t="s">
        <v>82</v>
      </c>
      <c r="F3" s="83" t="s">
        <v>82</v>
      </c>
      <c r="G3" s="83" t="s">
        <v>82</v>
      </c>
      <c r="H3" s="83" t="s">
        <v>82</v>
      </c>
      <c r="I3" s="83" t="s">
        <v>82</v>
      </c>
      <c r="J3" s="83" t="s">
        <v>82</v>
      </c>
      <c r="K3" s="83" t="s">
        <v>82</v>
      </c>
      <c r="L3" s="83" t="s">
        <v>82</v>
      </c>
      <c r="M3" s="83" t="s">
        <v>82</v>
      </c>
      <c r="N3" s="83" t="s">
        <v>82</v>
      </c>
      <c r="O3" s="83" t="s">
        <v>82</v>
      </c>
      <c r="P3" s="83" t="s">
        <v>82</v>
      </c>
      <c r="Q3" s="83" t="s">
        <v>82</v>
      </c>
      <c r="R3" s="83" t="s">
        <v>82</v>
      </c>
      <c r="S3" s="83" t="s">
        <v>82</v>
      </c>
      <c r="T3" s="86"/>
    </row>
    <row r="4" spans="1:20" ht="30.75" customHeight="1" x14ac:dyDescent="0.25">
      <c r="A4" s="75" t="s">
        <v>9</v>
      </c>
      <c r="B4" s="119">
        <v>0.81</v>
      </c>
      <c r="C4" s="119">
        <v>0.77</v>
      </c>
      <c r="D4" s="119">
        <v>0.78</v>
      </c>
      <c r="E4" s="143">
        <v>0.71</v>
      </c>
      <c r="F4" s="123">
        <v>0.72</v>
      </c>
      <c r="G4" s="123">
        <v>0.82</v>
      </c>
      <c r="H4" s="278">
        <v>0.92</v>
      </c>
      <c r="I4" s="123">
        <v>0.82</v>
      </c>
      <c r="J4" s="126">
        <v>0.47</v>
      </c>
      <c r="K4" s="126">
        <v>0.84</v>
      </c>
      <c r="L4" s="126">
        <v>0.76</v>
      </c>
      <c r="M4" s="126">
        <v>0.74</v>
      </c>
      <c r="N4" s="126">
        <v>0.53</v>
      </c>
      <c r="O4" s="126">
        <v>0.56000000000000005</v>
      </c>
      <c r="P4" s="126">
        <v>0.62</v>
      </c>
      <c r="Q4" s="126">
        <v>0.59</v>
      </c>
      <c r="R4" s="126">
        <v>0.59</v>
      </c>
      <c r="S4" s="126">
        <v>0.66</v>
      </c>
      <c r="T4" s="87"/>
    </row>
    <row r="5" spans="1: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12"/>
      <c r="O5" s="75"/>
      <c r="P5" s="75"/>
      <c r="Q5" s="75"/>
      <c r="R5" s="75"/>
      <c r="S5" s="12"/>
      <c r="T5" s="16"/>
    </row>
    <row r="6" spans="1:20" x14ac:dyDescent="0.25">
      <c r="A6" s="75" t="s">
        <v>89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6"/>
    </row>
    <row r="7" spans="1:20" x14ac:dyDescent="0.25">
      <c r="A7" s="75" t="s">
        <v>164</v>
      </c>
      <c r="B7" s="75"/>
      <c r="C7" s="75"/>
      <c r="D7" s="75"/>
      <c r="E7" s="75"/>
      <c r="F7" s="75"/>
      <c r="G7" s="75"/>
      <c r="H7" s="75"/>
      <c r="I7" s="75"/>
      <c r="J7" s="128"/>
      <c r="K7" s="127"/>
      <c r="L7" s="127"/>
      <c r="M7" s="127"/>
      <c r="N7" s="129"/>
      <c r="O7" s="127"/>
      <c r="P7" s="127"/>
      <c r="Q7" s="127"/>
      <c r="R7" s="127"/>
      <c r="S7" s="129"/>
      <c r="T7" s="16"/>
    </row>
    <row r="8" spans="1:20" ht="18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94"/>
      <c r="K8" s="76"/>
      <c r="L8" s="76"/>
      <c r="M8" s="76"/>
      <c r="N8" s="76"/>
      <c r="O8" s="35"/>
      <c r="P8" s="76"/>
      <c r="Q8" s="76"/>
      <c r="R8" s="76"/>
      <c r="S8" s="76"/>
      <c r="T8" s="16"/>
    </row>
    <row r="9" spans="1:20" ht="20.25" customHeight="1" x14ac:dyDescent="0.25">
      <c r="A9" s="76"/>
      <c r="B9" s="75" t="s">
        <v>97</v>
      </c>
      <c r="C9" s="76"/>
      <c r="D9" s="76"/>
      <c r="E9" s="76"/>
      <c r="F9" s="76"/>
      <c r="G9" s="76"/>
      <c r="H9" s="76"/>
      <c r="I9" s="76"/>
      <c r="J9" s="94"/>
      <c r="K9" s="76"/>
      <c r="L9" s="76"/>
      <c r="M9" s="76"/>
      <c r="N9" s="76"/>
      <c r="O9" s="35"/>
      <c r="P9" s="76"/>
      <c r="Q9" s="76"/>
      <c r="R9" s="76"/>
      <c r="S9" s="76"/>
      <c r="T9" s="16"/>
    </row>
    <row r="10" spans="1:20" ht="85.5" customHeight="1" x14ac:dyDescent="0.3">
      <c r="A10" s="116" t="s">
        <v>215</v>
      </c>
      <c r="B10" s="154" t="s">
        <v>357</v>
      </c>
      <c r="C10" s="153"/>
      <c r="D10" s="76"/>
      <c r="E10" s="76"/>
      <c r="F10" s="74"/>
      <c r="G10" s="74"/>
      <c r="H10" s="74"/>
      <c r="I10" s="74"/>
      <c r="J10" s="75" t="s">
        <v>134</v>
      </c>
      <c r="K10" s="174">
        <v>3.8849999999999998</v>
      </c>
      <c r="L10" s="174">
        <v>9.7349999999999994</v>
      </c>
      <c r="M10" s="174">
        <v>20.324999999999999</v>
      </c>
      <c r="N10" s="174">
        <v>31.495000000000001</v>
      </c>
      <c r="O10" s="174">
        <v>37.369999999999997</v>
      </c>
      <c r="P10" s="16"/>
      <c r="R10" s="16"/>
      <c r="T10" s="35"/>
    </row>
    <row r="11" spans="1:20" ht="39" customHeight="1" x14ac:dyDescent="0.25">
      <c r="J11" s="81"/>
      <c r="K11" s="75">
        <v>10</v>
      </c>
      <c r="L11" s="75">
        <v>20</v>
      </c>
      <c r="M11" s="75">
        <v>40</v>
      </c>
      <c r="N11" s="75">
        <v>60</v>
      </c>
      <c r="O11" s="96">
        <v>80</v>
      </c>
      <c r="P11" s="85"/>
      <c r="Q11" s="85"/>
      <c r="R11" s="85"/>
      <c r="S11" s="35"/>
      <c r="T11" s="35"/>
    </row>
    <row r="12" spans="1:20" ht="0.75" customHeight="1" x14ac:dyDescent="0.25">
      <c r="B12" s="12" t="s">
        <v>99</v>
      </c>
      <c r="C12" s="12" t="s">
        <v>100</v>
      </c>
      <c r="D12" s="266" t="s">
        <v>103</v>
      </c>
      <c r="E12" s="266" t="s">
        <v>104</v>
      </c>
      <c r="F12" s="35"/>
      <c r="G12" s="35"/>
      <c r="J12" s="16"/>
      <c r="K12" s="16"/>
      <c r="L12" s="16"/>
      <c r="M12" s="16"/>
      <c r="N12" s="16"/>
      <c r="O12" s="47"/>
      <c r="P12" s="47"/>
      <c r="Q12" s="47"/>
      <c r="R12" s="47"/>
      <c r="S12" s="35"/>
      <c r="T12" s="35"/>
    </row>
    <row r="13" spans="1:20" ht="76.5" customHeight="1" x14ac:dyDescent="0.25">
      <c r="A13" s="116" t="s">
        <v>258</v>
      </c>
      <c r="B13" s="96" t="s">
        <v>261</v>
      </c>
      <c r="C13" s="96" t="s">
        <v>262</v>
      </c>
      <c r="D13" s="253"/>
      <c r="E13" s="253"/>
      <c r="F13" s="35"/>
      <c r="G13" s="35"/>
      <c r="J13" s="16"/>
      <c r="K13" s="16"/>
      <c r="L13" s="16"/>
      <c r="M13" s="16"/>
      <c r="N13" s="16"/>
      <c r="O13" s="16"/>
      <c r="P13" s="16"/>
      <c r="Q13" s="16"/>
      <c r="R13" s="16"/>
      <c r="S13" s="35"/>
      <c r="T13" s="35"/>
    </row>
    <row r="14" spans="1:20" x14ac:dyDescent="0.25">
      <c r="P14" s="35"/>
      <c r="Q14" s="35"/>
      <c r="R14" s="35"/>
      <c r="S14" s="35"/>
      <c r="T14" s="35"/>
    </row>
    <row r="27" spans="5:5" x14ac:dyDescent="0.25">
      <c r="E27">
        <v>8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7" tint="-0.249977111117893"/>
  </sheetPr>
  <dimension ref="A2:GU50"/>
  <sheetViews>
    <sheetView zoomScale="70" zoomScaleNormal="70" zoomScaleSheetLayoutView="40" workbookViewId="0">
      <pane xSplit="1" topLeftCell="S1" activePane="topRight" state="frozen"/>
      <selection pane="topRight" activeCell="AE15" sqref="AE15"/>
    </sheetView>
  </sheetViews>
  <sheetFormatPr defaultRowHeight="15" x14ac:dyDescent="0.25"/>
  <cols>
    <col min="1" max="1" width="28.85546875" customWidth="1"/>
    <col min="2" max="2" width="12.140625" customWidth="1"/>
    <col min="3" max="5" width="10.7109375" customWidth="1"/>
    <col min="6" max="6" width="12.5703125" customWidth="1"/>
    <col min="7" max="11" width="10.7109375" customWidth="1"/>
    <col min="12" max="12" width="13.28515625" customWidth="1"/>
    <col min="13" max="13" width="12.28515625" customWidth="1"/>
    <col min="14" max="14" width="12.85546875" customWidth="1"/>
    <col min="15" max="16" width="12.140625" customWidth="1"/>
    <col min="17" max="18" width="11.7109375" customWidth="1"/>
    <col min="20" max="20" width="11.5703125" customWidth="1"/>
    <col min="22" max="22" width="13.5703125" customWidth="1"/>
    <col min="23" max="23" width="10.85546875" bestFit="1" customWidth="1"/>
    <col min="24" max="24" width="9.42578125" customWidth="1"/>
    <col min="25" max="25" width="9.85546875" customWidth="1"/>
    <col min="26" max="26" width="9" customWidth="1"/>
    <col min="27" max="27" width="8.5703125" customWidth="1"/>
    <col min="28" max="29" width="9.5703125" customWidth="1"/>
    <col min="30" max="30" width="10.5703125" customWidth="1"/>
    <col min="31" max="31" width="9.42578125" customWidth="1"/>
    <col min="32" max="32" width="10.7109375" customWidth="1"/>
    <col min="33" max="33" width="10.5703125" customWidth="1"/>
    <col min="34" max="34" width="13.140625" customWidth="1"/>
    <col min="35" max="35" width="17.85546875" customWidth="1"/>
    <col min="36" max="36" width="12.42578125" customWidth="1"/>
    <col min="37" max="37" width="10.5703125" customWidth="1"/>
    <col min="38" max="38" width="14.28515625" customWidth="1"/>
    <col min="39" max="39" width="10.5703125" customWidth="1"/>
    <col min="40" max="40" width="12.85546875" customWidth="1"/>
    <col min="41" max="43" width="10.5703125" customWidth="1"/>
    <col min="44" max="44" width="12.85546875" customWidth="1"/>
    <col min="45" max="45" width="10.5703125" customWidth="1"/>
    <col min="46" max="46" width="14.5703125" customWidth="1"/>
    <col min="47" max="47" width="10.5703125" customWidth="1"/>
    <col min="48" max="48" width="10.7109375" customWidth="1"/>
    <col min="49" max="53" width="10.5703125" customWidth="1"/>
    <col min="54" max="54" width="13.140625" customWidth="1"/>
    <col min="55" max="55" width="10.5703125" customWidth="1"/>
    <col min="56" max="56" width="14.42578125" customWidth="1"/>
    <col min="57" max="63" width="11.140625" customWidth="1"/>
    <col min="64" max="64" width="12.85546875" customWidth="1"/>
    <col min="65" max="67" width="11.140625" customWidth="1"/>
    <col min="68" max="68" width="11.42578125" customWidth="1"/>
    <col min="69" max="69" width="10.140625" customWidth="1"/>
    <col min="70" max="70" width="11.42578125" customWidth="1"/>
    <col min="71" max="71" width="11.85546875" customWidth="1"/>
    <col min="72" max="72" width="11.28515625" customWidth="1"/>
    <col min="75" max="75" width="9.28515625" customWidth="1"/>
    <col min="76" max="76" width="13.5703125" customWidth="1"/>
    <col min="77" max="77" width="9.28515625" customWidth="1"/>
    <col min="78" max="78" width="13.7109375" customWidth="1"/>
    <col min="79" max="79" width="12.7109375" customWidth="1"/>
    <col min="80" max="80" width="14.42578125" customWidth="1"/>
    <col min="81" max="81" width="12.85546875" customWidth="1"/>
    <col min="83" max="83" width="11.42578125" customWidth="1"/>
    <col min="87" max="87" width="12" customWidth="1"/>
    <col min="89" max="89" width="12" customWidth="1"/>
    <col min="93" max="93" width="12" customWidth="1"/>
    <col min="95" max="95" width="11.85546875" customWidth="1"/>
    <col min="97" max="97" width="11.42578125" customWidth="1"/>
    <col min="99" max="99" width="11.28515625" customWidth="1"/>
    <col min="101" max="101" width="12.7109375" customWidth="1"/>
    <col min="107" max="107" width="8.28515625" customWidth="1"/>
    <col min="109" max="109" width="21.85546875" customWidth="1"/>
    <col min="122" max="122" width="20" customWidth="1"/>
    <col min="161" max="163" width="10.5703125" customWidth="1"/>
  </cols>
  <sheetData>
    <row r="2" spans="1:203" ht="15.75" customHeight="1" x14ac:dyDescent="0.25"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DH2" s="9"/>
    </row>
    <row r="3" spans="1:203" ht="17.25" customHeight="1" x14ac:dyDescent="0.25">
      <c r="A3" t="s">
        <v>267</v>
      </c>
      <c r="T3" s="1"/>
      <c r="V3" s="19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9"/>
      <c r="BT3" s="16"/>
      <c r="BU3" s="19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</row>
    <row r="4" spans="1:203" x14ac:dyDescent="0.25">
      <c r="A4" s="102">
        <v>44076</v>
      </c>
      <c r="T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9"/>
      <c r="BT4" s="16"/>
      <c r="BU4" s="19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203" ht="39" customHeight="1" x14ac:dyDescent="0.25">
      <c r="A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</row>
    <row r="6" spans="1:203" ht="58.5" customHeight="1" x14ac:dyDescent="0.25">
      <c r="A6" t="s">
        <v>15</v>
      </c>
      <c r="B6" s="24" t="s">
        <v>52</v>
      </c>
      <c r="C6" s="25" t="s">
        <v>16</v>
      </c>
      <c r="D6" s="26" t="s">
        <v>51</v>
      </c>
      <c r="E6" s="25" t="s">
        <v>16</v>
      </c>
      <c r="F6" s="26" t="s">
        <v>50</v>
      </c>
      <c r="G6" s="25" t="s">
        <v>16</v>
      </c>
      <c r="H6" s="39"/>
      <c r="I6" s="24" t="s">
        <v>31</v>
      </c>
      <c r="J6" s="24" t="s">
        <v>33</v>
      </c>
      <c r="K6" s="17"/>
      <c r="L6" s="50" t="s">
        <v>108</v>
      </c>
      <c r="M6" s="50" t="s">
        <v>109</v>
      </c>
      <c r="N6" s="50" t="s">
        <v>111</v>
      </c>
      <c r="O6" s="50" t="s">
        <v>112</v>
      </c>
      <c r="P6" s="51" t="s">
        <v>31</v>
      </c>
      <c r="Q6" s="51" t="s">
        <v>31</v>
      </c>
      <c r="R6" s="50" t="s">
        <v>30</v>
      </c>
      <c r="S6" s="50" t="s">
        <v>30</v>
      </c>
      <c r="T6" s="17"/>
      <c r="U6" s="17"/>
      <c r="V6" s="18"/>
      <c r="W6" s="24" t="s">
        <v>252</v>
      </c>
      <c r="X6" s="25" t="s">
        <v>16</v>
      </c>
      <c r="Y6" s="26" t="s">
        <v>253</v>
      </c>
      <c r="Z6" s="25" t="s">
        <v>16</v>
      </c>
      <c r="AA6" s="26" t="s">
        <v>254</v>
      </c>
      <c r="AB6" s="25" t="s">
        <v>16</v>
      </c>
      <c r="AC6" s="26" t="s">
        <v>249</v>
      </c>
      <c r="AD6" s="25" t="s">
        <v>16</v>
      </c>
      <c r="AE6" s="26" t="s">
        <v>255</v>
      </c>
      <c r="AF6" s="25" t="s">
        <v>16</v>
      </c>
      <c r="AG6" s="17"/>
      <c r="AH6" s="27" t="s">
        <v>54</v>
      </c>
      <c r="AI6" s="112"/>
      <c r="AJ6" s="166" t="s">
        <v>256</v>
      </c>
      <c r="AK6" s="24"/>
      <c r="AL6" s="60"/>
      <c r="AQ6" s="18"/>
      <c r="AR6" s="60"/>
      <c r="AS6" s="18"/>
      <c r="AT6" s="17"/>
      <c r="AU6" s="18"/>
      <c r="AV6" s="17"/>
      <c r="AW6" s="18"/>
      <c r="AX6" s="17"/>
      <c r="AY6" s="18"/>
      <c r="AZ6" s="17"/>
      <c r="BA6" s="18"/>
      <c r="BB6" s="17"/>
      <c r="BC6" s="18"/>
      <c r="BD6" s="17"/>
      <c r="BE6" s="18"/>
      <c r="BF6" s="64"/>
      <c r="BG6" s="18"/>
      <c r="BH6" s="64"/>
      <c r="BI6" s="18"/>
      <c r="BJ6" s="17"/>
      <c r="BK6" s="63"/>
      <c r="BL6" s="63"/>
      <c r="BM6" s="17"/>
      <c r="BN6" s="65"/>
      <c r="BO6" s="18"/>
      <c r="BP6" s="64"/>
      <c r="BQ6" s="18"/>
      <c r="BR6" s="64"/>
      <c r="BS6" s="18"/>
      <c r="BT6" s="17"/>
      <c r="BU6" s="63"/>
      <c r="BV6" s="63"/>
      <c r="BW6" s="16"/>
      <c r="BX6" s="65"/>
      <c r="BY6" s="18"/>
      <c r="BZ6" s="64"/>
      <c r="CA6" s="18"/>
      <c r="CB6" s="64"/>
      <c r="CC6" s="18"/>
      <c r="CD6" s="17"/>
      <c r="CE6" s="63"/>
      <c r="CF6" s="63"/>
      <c r="CG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6"/>
      <c r="DD6" s="4"/>
      <c r="DE6" s="4"/>
      <c r="DF6" s="4"/>
      <c r="DG6" s="4"/>
      <c r="DJ6" s="4"/>
      <c r="DK6" s="4"/>
      <c r="DL6" s="4"/>
      <c r="DM6" s="4"/>
      <c r="DN6" s="4"/>
      <c r="DO6" s="4"/>
      <c r="DP6" s="4"/>
      <c r="DQ6" s="4"/>
      <c r="DS6" s="4"/>
      <c r="DT6" s="4"/>
      <c r="DU6" s="4"/>
      <c r="DV6" s="4"/>
      <c r="DW6" s="4"/>
      <c r="DX6" s="4"/>
      <c r="EA6" s="4"/>
      <c r="EB6" s="4"/>
      <c r="EC6" s="4"/>
      <c r="ED6" s="4"/>
      <c r="EE6" s="4"/>
      <c r="EF6" s="4"/>
      <c r="EG6" s="4"/>
      <c r="EH6" s="4"/>
      <c r="EK6" s="4"/>
      <c r="EL6" s="4"/>
      <c r="EM6" s="4"/>
      <c r="EN6" s="4"/>
      <c r="EO6" s="4"/>
      <c r="EP6" s="4"/>
      <c r="EQ6" s="4"/>
      <c r="ER6" s="4"/>
      <c r="ES6" s="4"/>
      <c r="ET6" s="4"/>
      <c r="EV6" s="4"/>
      <c r="EW6" s="4"/>
      <c r="EX6" s="4"/>
      <c r="EY6" s="4"/>
      <c r="EZ6" s="4"/>
      <c r="FA6" s="4"/>
      <c r="FB6" s="4"/>
      <c r="FC6" s="4"/>
      <c r="FD6" s="4"/>
      <c r="FE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G6" s="4"/>
      <c r="GH6" s="4"/>
      <c r="GI6" s="4"/>
      <c r="GJ6" s="4"/>
      <c r="GK6" s="4"/>
      <c r="GL6" s="4"/>
      <c r="GM6" s="4"/>
      <c r="GN6" s="4"/>
      <c r="GO6" s="4"/>
      <c r="GP6" s="4"/>
      <c r="GR6" s="4"/>
    </row>
    <row r="7" spans="1:203" ht="15.75" x14ac:dyDescent="0.25">
      <c r="A7" t="s">
        <v>5</v>
      </c>
      <c r="B7" t="s">
        <v>158</v>
      </c>
      <c r="C7" s="29" t="e">
        <f>B7/AVERAGE($M7,#REF!)</f>
        <v>#VALUE!</v>
      </c>
      <c r="D7" s="12" t="s">
        <v>158</v>
      </c>
      <c r="E7" s="29" t="e">
        <f>D7/AVERAGE($M7,#REF!)</f>
        <v>#VALUE!</v>
      </c>
      <c r="F7" s="12" t="s">
        <v>158</v>
      </c>
      <c r="G7" s="29" t="e">
        <f>F7/AVERAGE($M7,#REF!)</f>
        <v>#VALUE!</v>
      </c>
      <c r="H7" s="33"/>
      <c r="I7" s="12" t="e">
        <f>AVERAGE(B7,D7,F7)</f>
        <v>#DIV/0!</v>
      </c>
      <c r="J7" s="30" t="e">
        <f>STDEV(B7,D7,F7)/I7</f>
        <v>#DIV/0!</v>
      </c>
      <c r="K7" s="19"/>
      <c r="L7" s="12" t="s">
        <v>158</v>
      </c>
      <c r="M7" s="12" t="s">
        <v>159</v>
      </c>
      <c r="N7" s="12" t="s">
        <v>158</v>
      </c>
      <c r="O7" s="12" t="s">
        <v>159</v>
      </c>
      <c r="P7" s="53" t="e">
        <f>AVERAGE(M7,L7)</f>
        <v>#DIV/0!</v>
      </c>
      <c r="Q7" s="53" t="e">
        <f>AVERAGE(N7,O7)</f>
        <v>#DIV/0!</v>
      </c>
      <c r="R7" s="54" t="e">
        <f>ABS(L7-M7)/AVERAGE(M7,L7)</f>
        <v>#VALUE!</v>
      </c>
      <c r="S7" s="54" t="e">
        <f>ABS(L7-N7)/AVERAGE(N7,L7)</f>
        <v>#VALUE!</v>
      </c>
      <c r="T7" s="38"/>
      <c r="U7" s="38"/>
      <c r="V7" s="16"/>
      <c r="W7" s="12" t="s">
        <v>158</v>
      </c>
      <c r="X7" s="29" t="e">
        <f>W7/AVERAGE($M7,#REF!)</f>
        <v>#VALUE!</v>
      </c>
      <c r="Y7" s="12" t="s">
        <v>158</v>
      </c>
      <c r="Z7" s="29"/>
      <c r="AA7" s="12" t="s">
        <v>159</v>
      </c>
      <c r="AB7" s="29" t="e">
        <f>AA7/AVERAGE($M7,#REF!)</f>
        <v>#VALUE!</v>
      </c>
      <c r="AC7" s="12" t="s">
        <v>159</v>
      </c>
      <c r="AD7" s="29" t="e">
        <f>AC7/AVERAGE($M7,#REF!)</f>
        <v>#VALUE!</v>
      </c>
      <c r="AE7" s="12" t="s">
        <v>158</v>
      </c>
      <c r="AF7" s="168" t="e">
        <f>AE7/AVERAGE($M7,#REF!)</f>
        <v>#VALUE!</v>
      </c>
      <c r="AG7" s="16"/>
      <c r="AH7" s="12" t="s">
        <v>158</v>
      </c>
      <c r="AI7" s="168" t="e">
        <f>AH7/AVERAGE($L7,$M7)</f>
        <v>#VALUE!</v>
      </c>
      <c r="AJ7" s="12" t="s">
        <v>159</v>
      </c>
      <c r="AK7" s="168" t="e">
        <f>AJ7/AVERAGE($L7,$M7)</f>
        <v>#VALUE!</v>
      </c>
      <c r="AL7" s="16"/>
      <c r="AQ7" s="23"/>
      <c r="AR7" s="16"/>
      <c r="AS7" s="23"/>
      <c r="AT7" s="43"/>
      <c r="AU7" s="16"/>
      <c r="AV7" s="23"/>
      <c r="AW7" s="16"/>
      <c r="AX7" s="23"/>
      <c r="AY7" s="16"/>
      <c r="AZ7" s="23"/>
      <c r="BA7" s="16"/>
      <c r="BB7" s="23"/>
      <c r="BC7" s="16"/>
      <c r="BD7" s="23"/>
      <c r="BE7" s="23"/>
      <c r="BF7" s="16"/>
      <c r="BG7" s="23"/>
      <c r="BH7" s="16"/>
      <c r="BI7" s="23"/>
      <c r="BJ7" s="23"/>
      <c r="BK7" s="16"/>
      <c r="BL7" s="38"/>
      <c r="BM7" s="16"/>
      <c r="BN7" s="43"/>
      <c r="BO7" s="23"/>
      <c r="BP7" s="16"/>
      <c r="BQ7" s="23"/>
      <c r="BR7" s="16"/>
      <c r="BS7" s="23"/>
      <c r="BT7" s="23"/>
      <c r="BU7" s="16"/>
      <c r="BV7" s="38"/>
      <c r="BW7" s="20"/>
      <c r="BX7" s="43"/>
      <c r="BY7" s="23"/>
      <c r="BZ7" s="16"/>
      <c r="CA7" s="23"/>
      <c r="CB7" s="16"/>
      <c r="CC7" s="23"/>
      <c r="CD7" s="23"/>
      <c r="CE7" s="16"/>
      <c r="CF7" s="38"/>
      <c r="CG7" s="16"/>
      <c r="CL7" s="20"/>
      <c r="CM7" s="16"/>
      <c r="CN7" s="20"/>
      <c r="CO7" s="16"/>
      <c r="CP7" s="20"/>
      <c r="CQ7" s="16"/>
      <c r="CR7" s="20"/>
      <c r="CS7" s="16"/>
      <c r="CT7" s="20"/>
      <c r="CU7" s="16"/>
      <c r="CV7" s="20"/>
      <c r="CW7" s="16"/>
      <c r="CX7" s="20"/>
      <c r="CY7" s="19"/>
      <c r="CZ7" s="19"/>
      <c r="DA7" s="19"/>
      <c r="DB7" s="19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5"/>
      <c r="EX7" s="8"/>
      <c r="EZ7" s="8"/>
      <c r="FB7" s="8"/>
      <c r="FD7" s="1"/>
      <c r="FE7" s="8"/>
      <c r="FF7" s="2"/>
      <c r="FG7" s="5"/>
      <c r="FI7" s="8"/>
      <c r="FK7" s="8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ht="15.75" x14ac:dyDescent="0.25">
      <c r="A8" t="s">
        <v>9</v>
      </c>
      <c r="B8">
        <v>26.73</v>
      </c>
      <c r="C8" s="30">
        <f>B8/P8</f>
        <v>0.81110605370960409</v>
      </c>
      <c r="D8" s="12">
        <v>25.31</v>
      </c>
      <c r="E8" s="30">
        <f>D8/P8</f>
        <v>0.76801699286906389</v>
      </c>
      <c r="F8" s="12">
        <v>25.84</v>
      </c>
      <c r="G8" s="30">
        <f>F8/P8</f>
        <v>0.78409952966165986</v>
      </c>
      <c r="H8" s="34"/>
      <c r="I8" s="12">
        <f>AVERAGE(B8,D8,F8)</f>
        <v>25.959999999999997</v>
      </c>
      <c r="J8" s="30">
        <f>STDEV(B8,D8,F8)/I8</f>
        <v>2.7641191372743078E-2</v>
      </c>
      <c r="K8" s="19"/>
      <c r="L8" s="12">
        <v>33.81</v>
      </c>
      <c r="M8" s="12">
        <v>32.1</v>
      </c>
      <c r="N8" s="12">
        <v>38.049999999999997</v>
      </c>
      <c r="O8" s="12">
        <v>37.590000000000003</v>
      </c>
      <c r="P8" s="141">
        <f>AVERAGE(M8,L8)</f>
        <v>32.954999999999998</v>
      </c>
      <c r="Q8" s="53">
        <f>AVERAGE(N8,O8)</f>
        <v>37.82</v>
      </c>
      <c r="R8" s="54">
        <f>ABS(L8-M8)/AVERAGE(M8,L8)</f>
        <v>5.1888939462903988E-2</v>
      </c>
      <c r="S8" s="54">
        <f>ABS(N19-O19)/AVERAGE(N8,O8)</f>
        <v>0</v>
      </c>
      <c r="T8" s="38"/>
      <c r="U8" s="38"/>
      <c r="V8" s="16"/>
      <c r="W8" s="12">
        <v>30.83</v>
      </c>
      <c r="X8" s="98">
        <f>(W8/2)/$P$8</f>
        <v>0.46775906539220147</v>
      </c>
      <c r="Y8" s="12">
        <v>55.62</v>
      </c>
      <c r="Z8" s="30">
        <f>(Y8/2)/$P$8</f>
        <v>0.84387801547564867</v>
      </c>
      <c r="AA8" s="12">
        <v>49.93</v>
      </c>
      <c r="AB8" s="30">
        <f>(AA8/2)/$P$8</f>
        <v>0.75754817174935518</v>
      </c>
      <c r="AC8" s="12">
        <v>48.72</v>
      </c>
      <c r="AD8" s="30">
        <f>(AC8/2)/$P$8</f>
        <v>0.73918980427856174</v>
      </c>
      <c r="AE8" s="12">
        <v>35.11</v>
      </c>
      <c r="AF8" s="98">
        <f>(AE8/2)/$P$8</f>
        <v>0.53269610074343809</v>
      </c>
      <c r="AG8" s="16"/>
      <c r="AH8" s="12">
        <v>30.21</v>
      </c>
      <c r="AI8" s="169">
        <f>AH8/$P$8</f>
        <v>0.91670459717797004</v>
      </c>
      <c r="AJ8" s="12">
        <v>30.92</v>
      </c>
      <c r="AK8" s="169">
        <f>AJ8/$Q$8</f>
        <v>0.81755684822845054</v>
      </c>
      <c r="AL8" s="16"/>
      <c r="AQ8" s="38"/>
      <c r="AR8" s="16"/>
      <c r="AS8" s="38"/>
      <c r="AT8" s="43"/>
      <c r="AU8" s="16"/>
      <c r="AV8" s="38"/>
      <c r="AW8" s="16"/>
      <c r="AX8" s="38"/>
      <c r="AY8" s="16"/>
      <c r="AZ8" s="38"/>
      <c r="BA8" s="16"/>
      <c r="BB8" s="38"/>
      <c r="BC8" s="16"/>
      <c r="BD8" s="38"/>
      <c r="BE8" s="38"/>
      <c r="BF8" s="16"/>
      <c r="BG8" s="38"/>
      <c r="BH8" s="16"/>
      <c r="BI8" s="38"/>
      <c r="BJ8" s="38"/>
      <c r="BK8" s="16"/>
      <c r="BL8" s="38"/>
      <c r="BM8" s="16"/>
      <c r="BN8" s="43"/>
      <c r="BO8" s="23"/>
      <c r="BP8" s="16"/>
      <c r="BQ8" s="23"/>
      <c r="BR8" s="16"/>
      <c r="BS8" s="23"/>
      <c r="BT8" s="38"/>
      <c r="BU8" s="16"/>
      <c r="BV8" s="38"/>
      <c r="BW8" s="20"/>
      <c r="BX8" s="43"/>
      <c r="BY8" s="23"/>
      <c r="BZ8" s="16"/>
      <c r="CA8" s="23"/>
      <c r="CB8" s="16"/>
      <c r="CC8" s="23"/>
      <c r="CD8" s="38"/>
      <c r="CE8" s="16"/>
      <c r="CF8" s="38"/>
      <c r="CG8" s="16"/>
      <c r="CL8" s="20"/>
      <c r="CM8" s="16"/>
      <c r="CN8" s="20"/>
      <c r="CO8" s="16"/>
      <c r="CP8" s="20"/>
      <c r="CQ8" s="16"/>
      <c r="CR8" s="20"/>
      <c r="CS8" s="16"/>
      <c r="CT8" s="20"/>
      <c r="CU8" s="16"/>
      <c r="CV8" s="20"/>
      <c r="CW8" s="16"/>
      <c r="CX8" s="20"/>
      <c r="CY8" s="19"/>
      <c r="CZ8" s="19"/>
      <c r="DA8" s="19"/>
      <c r="DB8" s="19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5"/>
      <c r="EX8" s="8"/>
      <c r="EZ8" s="8"/>
      <c r="FB8" s="8"/>
      <c r="FD8" s="1"/>
      <c r="FE8" s="8"/>
      <c r="FF8" s="2"/>
      <c r="FG8" s="5"/>
      <c r="FI8" s="8"/>
      <c r="FK8" s="8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ht="15.75" x14ac:dyDescent="0.25">
      <c r="A9" t="s">
        <v>7</v>
      </c>
      <c r="B9">
        <v>8.43</v>
      </c>
      <c r="C9" s="30">
        <f>B9/P9</f>
        <v>0.78895648104819838</v>
      </c>
      <c r="D9" s="12">
        <v>8.6999999999999993</v>
      </c>
      <c r="E9" s="30">
        <f>D9/P9</f>
        <v>0.81422554983621886</v>
      </c>
      <c r="F9" s="12">
        <v>8.83</v>
      </c>
      <c r="G9" s="30">
        <f>F9/P9</f>
        <v>0.82639213851193261</v>
      </c>
      <c r="H9" s="34"/>
      <c r="I9" s="274">
        <f>AVERAGE(B9,D9,F9)</f>
        <v>8.6533333333333342</v>
      </c>
      <c r="J9" s="30">
        <f>STDEV(B9,D9,F9)/I9</f>
        <v>2.3579639357169332E-2</v>
      </c>
      <c r="K9" s="16"/>
      <c r="L9" s="12">
        <v>11.13</v>
      </c>
      <c r="M9" s="12">
        <v>10.24</v>
      </c>
      <c r="N9" s="12">
        <v>11.74</v>
      </c>
      <c r="O9" s="12">
        <v>12.72</v>
      </c>
      <c r="P9" s="141">
        <f>AVERAGE(M9,L9)</f>
        <v>10.685</v>
      </c>
      <c r="Q9" s="53">
        <f>AVERAGE(N9,O9)</f>
        <v>12.23</v>
      </c>
      <c r="R9" s="54">
        <f>ABS(L9-M9)/AVERAGE(M9,L9)</f>
        <v>8.3294337856808662E-2</v>
      </c>
      <c r="S9" s="54">
        <f>ABS(N20-O20)/AVERAGE(N9,O9)</f>
        <v>0</v>
      </c>
      <c r="T9" s="38"/>
      <c r="U9" s="38"/>
      <c r="V9" s="16"/>
      <c r="W9" s="12">
        <v>1.28</v>
      </c>
      <c r="X9" s="12">
        <f>W9</f>
        <v>1.28</v>
      </c>
      <c r="Y9" s="12">
        <v>4.72</v>
      </c>
      <c r="Z9" s="12">
        <v>4.72</v>
      </c>
      <c r="AA9" s="12">
        <v>7.69</v>
      </c>
      <c r="AB9" s="12">
        <v>7.69</v>
      </c>
      <c r="AC9" s="12">
        <v>11.99</v>
      </c>
      <c r="AD9" s="12">
        <v>11.99</v>
      </c>
      <c r="AE9" s="12">
        <v>10.76</v>
      </c>
      <c r="AF9" s="12">
        <v>10.76</v>
      </c>
      <c r="AG9" s="16"/>
      <c r="AH9" s="12" t="s">
        <v>158</v>
      </c>
      <c r="AI9" s="113"/>
      <c r="AJ9" s="12" t="s">
        <v>159</v>
      </c>
      <c r="AK9" s="113"/>
      <c r="AL9" s="16"/>
      <c r="AQ9" s="16"/>
      <c r="AR9" s="16"/>
      <c r="AS9" s="16"/>
      <c r="AT9" s="45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38"/>
      <c r="BK9" s="16"/>
      <c r="BL9" s="38"/>
      <c r="BM9" s="16"/>
      <c r="BN9" s="43"/>
      <c r="BO9" s="16"/>
      <c r="BP9" s="16"/>
      <c r="BQ9" s="16"/>
      <c r="BR9" s="16"/>
      <c r="BS9" s="16"/>
      <c r="BT9" s="38"/>
      <c r="BU9" s="16"/>
      <c r="BV9" s="38"/>
      <c r="BW9" s="20"/>
      <c r="BX9" s="43"/>
      <c r="BY9" s="16"/>
      <c r="BZ9" s="16"/>
      <c r="CA9" s="16"/>
      <c r="CB9" s="16"/>
      <c r="CC9" s="16"/>
      <c r="CD9" s="38"/>
      <c r="CE9" s="16"/>
      <c r="CF9" s="38"/>
      <c r="CG9" s="16"/>
      <c r="CL9" s="19"/>
      <c r="CM9" s="16"/>
      <c r="CN9" s="19"/>
      <c r="CO9" s="16"/>
      <c r="CP9" s="19"/>
      <c r="CQ9" s="16"/>
      <c r="CR9" s="19"/>
      <c r="CS9" s="16"/>
      <c r="CT9" s="19"/>
      <c r="CU9" s="16"/>
      <c r="CV9" s="19"/>
      <c r="CW9" s="16"/>
      <c r="CX9" s="19"/>
      <c r="CY9" s="46"/>
      <c r="CZ9" s="16"/>
      <c r="DA9" s="46"/>
      <c r="DB9" s="45"/>
      <c r="DC9" s="2"/>
      <c r="DD9" s="2"/>
      <c r="DH9" s="6"/>
      <c r="DI9" s="2"/>
      <c r="DK9" s="8"/>
      <c r="DM9" s="8"/>
      <c r="DN9" s="8"/>
      <c r="DO9" s="8"/>
      <c r="DP9" s="8"/>
      <c r="DQ9" s="8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5"/>
      <c r="ED9" s="1"/>
      <c r="EF9" s="1"/>
      <c r="EH9" s="1"/>
      <c r="EI9" s="1"/>
      <c r="EJ9" s="2"/>
      <c r="EK9" s="2"/>
      <c r="EM9" s="7"/>
      <c r="EO9" s="7"/>
      <c r="EQ9" s="7"/>
      <c r="ES9" s="7"/>
      <c r="ET9" s="7"/>
      <c r="EU9" s="7"/>
      <c r="EV9" s="7"/>
      <c r="EX9" s="7"/>
      <c r="EZ9" s="7"/>
      <c r="FB9" s="7"/>
      <c r="FD9" s="7"/>
      <c r="FE9" s="7"/>
      <c r="FF9" s="7"/>
      <c r="FG9" s="7"/>
      <c r="FI9" s="7"/>
      <c r="FK9" s="7"/>
      <c r="FM9" s="7"/>
      <c r="FO9" s="7"/>
      <c r="FQ9" s="7"/>
      <c r="FR9" s="7"/>
      <c r="FS9" s="7"/>
      <c r="FT9" s="7"/>
      <c r="FV9" s="7"/>
      <c r="FX9" s="7"/>
      <c r="FZ9" s="7"/>
      <c r="GB9" s="7"/>
      <c r="GD9" s="7"/>
      <c r="GE9" s="7"/>
      <c r="GF9" s="7"/>
      <c r="GG9" s="7"/>
      <c r="GI9" s="7"/>
      <c r="GK9" s="7"/>
      <c r="GM9" s="7"/>
      <c r="GO9" s="7"/>
      <c r="GP9" s="2"/>
      <c r="GQ9" s="2"/>
      <c r="GR9" s="2"/>
    </row>
    <row r="10" spans="1:203" ht="15.75" x14ac:dyDescent="0.25">
      <c r="A10" t="s">
        <v>6</v>
      </c>
      <c r="B10">
        <v>19.899999999999999</v>
      </c>
      <c r="C10" s="30">
        <f>B10/P10</f>
        <v>0.80762987012987009</v>
      </c>
      <c r="D10" s="12">
        <v>19.78</v>
      </c>
      <c r="E10" s="30">
        <f>D10/P10</f>
        <v>0.80275974025974028</v>
      </c>
      <c r="F10" s="12">
        <v>19.03</v>
      </c>
      <c r="G10" s="30">
        <f>F10/P10</f>
        <v>0.7723214285714286</v>
      </c>
      <c r="H10" s="34"/>
      <c r="I10" s="12">
        <f>AVERAGE(B10,D10,F10)</f>
        <v>19.57</v>
      </c>
      <c r="J10" s="30">
        <f>STDEV(B10,D10,F10)/I10</f>
        <v>2.409233568549057E-2</v>
      </c>
      <c r="K10" s="16"/>
      <c r="L10" s="12">
        <v>26.46</v>
      </c>
      <c r="M10" s="12">
        <v>22.82</v>
      </c>
      <c r="N10" s="12">
        <v>29.04</v>
      </c>
      <c r="O10" s="12">
        <v>28.34</v>
      </c>
      <c r="P10" s="53">
        <f>AVERAGE(M10,L10)</f>
        <v>24.64</v>
      </c>
      <c r="Q10" s="53">
        <f>AVERAGE(N10,O10)</f>
        <v>28.689999999999998</v>
      </c>
      <c r="R10" s="54">
        <f>ABS(L10-M10)/AVERAGE(M10,L10)</f>
        <v>0.14772727272727273</v>
      </c>
      <c r="S10" s="54">
        <f>ABS(N21-O21)/AVERAGE(N10,O10)</f>
        <v>0</v>
      </c>
      <c r="T10" s="38"/>
      <c r="U10" s="38"/>
      <c r="V10" s="16"/>
      <c r="W10" s="12">
        <v>2.0699999999999998</v>
      </c>
      <c r="X10" s="12">
        <f>W10</f>
        <v>2.0699999999999998</v>
      </c>
      <c r="Y10" s="12">
        <v>7.52</v>
      </c>
      <c r="Z10" s="12">
        <v>7.52</v>
      </c>
      <c r="AA10" s="12">
        <v>15.44</v>
      </c>
      <c r="AB10" s="12">
        <v>15.44</v>
      </c>
      <c r="AC10" s="12">
        <v>26.65</v>
      </c>
      <c r="AD10" s="12">
        <v>26.65</v>
      </c>
      <c r="AE10" s="12">
        <v>26.11</v>
      </c>
      <c r="AF10" s="12">
        <v>26.11</v>
      </c>
      <c r="AG10" s="16"/>
      <c r="AH10" s="12" t="s">
        <v>158</v>
      </c>
      <c r="AI10" s="113"/>
      <c r="AJ10" s="12" t="s">
        <v>159</v>
      </c>
      <c r="AK10" s="113"/>
      <c r="AL10" s="16"/>
      <c r="AQ10" s="16"/>
      <c r="AR10" s="16"/>
      <c r="AS10" s="16"/>
      <c r="AT10" s="45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38"/>
      <c r="BK10" s="16"/>
      <c r="BL10" s="38"/>
      <c r="BM10" s="16"/>
      <c r="BN10" s="43"/>
      <c r="BO10" s="16"/>
      <c r="BP10" s="16"/>
      <c r="BQ10" s="16"/>
      <c r="BR10" s="16"/>
      <c r="BS10" s="16"/>
      <c r="BT10" s="38"/>
      <c r="BU10" s="16"/>
      <c r="BV10" s="38"/>
      <c r="BW10" s="20"/>
      <c r="BX10" s="43"/>
      <c r="BY10" s="16"/>
      <c r="BZ10" s="16"/>
      <c r="CA10" s="16"/>
      <c r="CB10" s="16"/>
      <c r="CC10" s="16"/>
      <c r="CD10" s="38"/>
      <c r="CE10" s="16"/>
      <c r="CF10" s="38"/>
      <c r="CG10" s="16"/>
      <c r="CL10" s="19"/>
      <c r="CM10" s="16"/>
      <c r="CN10" s="19"/>
      <c r="CO10" s="16"/>
      <c r="CP10" s="19"/>
      <c r="CQ10" s="16"/>
      <c r="CR10" s="19"/>
      <c r="CS10" s="16"/>
      <c r="CT10" s="19"/>
      <c r="CU10" s="16"/>
      <c r="CV10" s="19"/>
      <c r="CW10" s="16"/>
      <c r="CX10" s="19"/>
      <c r="CY10" s="46"/>
      <c r="CZ10" s="16"/>
      <c r="DA10" s="46"/>
      <c r="DB10" s="45"/>
      <c r="DC10" s="2"/>
      <c r="DD10" s="2"/>
      <c r="DG10" s="1"/>
      <c r="DH10" s="6"/>
      <c r="DI10" s="2"/>
      <c r="DK10" s="8"/>
      <c r="DM10" s="8"/>
      <c r="DN10" s="8"/>
      <c r="DO10" s="8"/>
      <c r="DP10" s="8"/>
      <c r="DQ10" s="8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5"/>
      <c r="ED10" s="1"/>
      <c r="EF10" s="1"/>
      <c r="EH10" s="1"/>
      <c r="EI10" s="1"/>
      <c r="EJ10" s="2"/>
      <c r="EK10" s="2"/>
      <c r="EM10" s="7"/>
      <c r="EO10" s="7"/>
      <c r="EQ10" s="7"/>
      <c r="ES10" s="7"/>
      <c r="ET10" s="7"/>
      <c r="EU10" s="7"/>
      <c r="EV10" s="7"/>
      <c r="EX10" s="7"/>
      <c r="EZ10" s="7"/>
      <c r="FB10" s="7"/>
      <c r="FD10" s="7"/>
      <c r="FE10" s="7"/>
      <c r="FF10" s="7"/>
      <c r="FG10" s="7"/>
      <c r="FI10" s="7"/>
      <c r="FK10" s="7"/>
      <c r="FM10" s="7"/>
      <c r="FO10" s="7"/>
      <c r="FQ10" s="7"/>
      <c r="FR10" s="7"/>
      <c r="FS10" s="7"/>
      <c r="FT10" s="7"/>
      <c r="FV10" s="7"/>
      <c r="FX10" s="7"/>
      <c r="FZ10" s="7"/>
      <c r="GB10" s="7"/>
      <c r="GD10" s="7"/>
      <c r="GE10" s="7"/>
      <c r="GF10" s="7"/>
      <c r="GG10" s="7"/>
      <c r="GI10" s="7"/>
      <c r="GK10" s="7"/>
      <c r="GM10" s="7"/>
      <c r="GO10" s="7"/>
      <c r="GP10" s="2"/>
      <c r="GQ10" s="2"/>
      <c r="GR10" s="2"/>
    </row>
    <row r="11" spans="1:203" ht="15.75" x14ac:dyDescent="0.25">
      <c r="A11" t="s">
        <v>17</v>
      </c>
      <c r="B11" s="52">
        <f>SUM(B9,B10)</f>
        <v>28.33</v>
      </c>
      <c r="C11" s="30">
        <f>B11/P11</f>
        <v>0.80198159943382863</v>
      </c>
      <c r="D11" s="52">
        <f>SUM(D9,D10)</f>
        <v>28.48</v>
      </c>
      <c r="E11" s="30">
        <f>D11/P11</f>
        <v>0.8062278839348902</v>
      </c>
      <c r="F11" s="52">
        <f>SUM(F9,F10)</f>
        <v>27.86</v>
      </c>
      <c r="G11" s="30">
        <f>F11/P11</f>
        <v>0.78867657466383578</v>
      </c>
      <c r="H11" s="34"/>
      <c r="I11" s="274">
        <f>AVERAGE(B11,D11,F11)</f>
        <v>28.223333333333333</v>
      </c>
      <c r="J11" s="30">
        <f>STDEV(B11,D11,F11)/I11</f>
        <v>1.1461111178890411E-2</v>
      </c>
      <c r="K11" s="19"/>
      <c r="L11" s="136">
        <f>SUM(L9,L10)</f>
        <v>37.590000000000003</v>
      </c>
      <c r="M11" s="136">
        <f>SUM(M9,M10)</f>
        <v>33.06</v>
      </c>
      <c r="N11" s="136">
        <f>SUM(N9,N10)</f>
        <v>40.78</v>
      </c>
      <c r="O11" s="136">
        <f>SUM(O9,O10)</f>
        <v>41.06</v>
      </c>
      <c r="P11" s="141">
        <f>AVERAGE(M11,L11)</f>
        <v>35.325000000000003</v>
      </c>
      <c r="Q11" s="53">
        <f>AVERAGE(N11,O11)</f>
        <v>40.92</v>
      </c>
      <c r="R11" s="54">
        <f>ABS(L11-M11)/AVERAGE(M11,L11)</f>
        <v>0.12823779193205948</v>
      </c>
      <c r="S11" s="54">
        <f>ABS(N22-O22)/AVERAGE(N11,O11)</f>
        <v>0</v>
      </c>
      <c r="T11" s="38"/>
      <c r="U11" s="38"/>
      <c r="V11" s="16"/>
      <c r="W11" s="13">
        <f t="shared" ref="W11:AF11" si="0">SUM(W9,W10)</f>
        <v>3.3499999999999996</v>
      </c>
      <c r="X11" s="12">
        <f t="shared" si="0"/>
        <v>3.3499999999999996</v>
      </c>
      <c r="Y11" s="13">
        <f t="shared" si="0"/>
        <v>12.239999999999998</v>
      </c>
      <c r="Z11" s="12">
        <f t="shared" si="0"/>
        <v>12.239999999999998</v>
      </c>
      <c r="AA11" s="13">
        <f t="shared" si="0"/>
        <v>23.13</v>
      </c>
      <c r="AB11" s="12">
        <f t="shared" si="0"/>
        <v>23.13</v>
      </c>
      <c r="AC11" s="13">
        <f t="shared" si="0"/>
        <v>38.64</v>
      </c>
      <c r="AD11" s="12">
        <f t="shared" si="0"/>
        <v>38.64</v>
      </c>
      <c r="AE11" s="13">
        <f t="shared" si="0"/>
        <v>36.869999999999997</v>
      </c>
      <c r="AF11" s="113">
        <f t="shared" si="0"/>
        <v>36.869999999999997</v>
      </c>
      <c r="AG11" s="16"/>
      <c r="AH11" s="12"/>
      <c r="AI11" s="113"/>
      <c r="AJ11" s="12"/>
      <c r="AK11" s="113"/>
      <c r="AL11" s="16"/>
      <c r="AQ11" s="16"/>
      <c r="AR11" s="19"/>
      <c r="AS11" s="16"/>
      <c r="AT11" s="45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9"/>
      <c r="BG11" s="16"/>
      <c r="BH11" s="19"/>
      <c r="BI11" s="16"/>
      <c r="BJ11" s="38"/>
      <c r="BK11" s="16"/>
      <c r="BL11" s="38"/>
      <c r="BM11" s="19"/>
      <c r="BN11" s="19"/>
      <c r="BO11" s="16"/>
      <c r="BP11" s="19"/>
      <c r="BQ11" s="16"/>
      <c r="BR11" s="19"/>
      <c r="BS11" s="16"/>
      <c r="BT11" s="38"/>
      <c r="BU11" s="16"/>
      <c r="BV11" s="38"/>
      <c r="BW11" s="20"/>
      <c r="BX11" s="19"/>
      <c r="BY11" s="16"/>
      <c r="BZ11" s="19"/>
      <c r="CA11" s="16"/>
      <c r="CB11" s="19"/>
      <c r="CC11" s="16"/>
      <c r="CD11" s="38"/>
      <c r="CE11" s="16"/>
      <c r="CF11" s="38"/>
      <c r="CG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46"/>
      <c r="CZ11" s="16"/>
      <c r="DA11" s="46"/>
      <c r="DB11" s="45"/>
      <c r="DC11" s="2"/>
      <c r="DD11" s="2"/>
      <c r="DG11" s="1"/>
      <c r="DH11" s="6"/>
      <c r="DI11" s="2"/>
      <c r="DK11" s="8"/>
      <c r="DM11" s="8"/>
      <c r="DN11" s="8"/>
      <c r="DO11" s="8"/>
      <c r="DP11" s="8"/>
      <c r="DQ11" s="8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5"/>
      <c r="ED11" s="1"/>
      <c r="EF11" s="1"/>
      <c r="EH11" s="1"/>
      <c r="EI11" s="1"/>
      <c r="EJ11" s="2"/>
      <c r="EK11" s="2"/>
      <c r="EM11" s="7"/>
      <c r="EO11" s="7"/>
      <c r="EQ11" s="7"/>
      <c r="ES11" s="7"/>
      <c r="ET11" s="7"/>
      <c r="EU11" s="7"/>
      <c r="EV11" s="7"/>
      <c r="EX11" s="7"/>
      <c r="EZ11" s="7"/>
      <c r="FB11" s="7"/>
      <c r="FD11" s="7"/>
      <c r="FE11" s="7"/>
      <c r="FF11" s="7"/>
      <c r="FG11" s="7"/>
      <c r="FI11" s="7"/>
      <c r="FK11" s="7"/>
      <c r="FM11" s="7"/>
      <c r="FO11" s="7"/>
      <c r="FQ11" s="7"/>
      <c r="FR11" s="7"/>
      <c r="FS11" s="7"/>
      <c r="FT11" s="7"/>
      <c r="FV11" s="7"/>
      <c r="FX11" s="7"/>
      <c r="FZ11" s="7"/>
      <c r="GB11" s="7"/>
      <c r="GD11" s="7"/>
      <c r="GE11" s="7"/>
      <c r="GF11" s="7"/>
      <c r="GG11" s="7"/>
      <c r="GI11" s="7"/>
      <c r="GK11" s="7"/>
      <c r="GM11" s="7"/>
      <c r="GO11" s="7"/>
      <c r="GP11" s="2"/>
      <c r="GQ11" s="2"/>
      <c r="GR11" s="2"/>
    </row>
    <row r="12" spans="1:203" ht="15.75" x14ac:dyDescent="0.25">
      <c r="A12" t="s">
        <v>10</v>
      </c>
      <c r="B12" s="31"/>
      <c r="C12" s="31"/>
      <c r="D12" s="31"/>
      <c r="E12" s="31"/>
      <c r="F12" s="31"/>
      <c r="G12" s="31"/>
      <c r="H12" s="40"/>
      <c r="I12" s="31"/>
      <c r="J12" s="31"/>
      <c r="K12" s="37"/>
      <c r="L12" s="55">
        <f t="shared" ref="L12:Q12" si="1">(L8+L11)/2</f>
        <v>35.700000000000003</v>
      </c>
      <c r="M12" s="55">
        <f t="shared" si="1"/>
        <v>32.58</v>
      </c>
      <c r="N12" s="275">
        <f t="shared" si="1"/>
        <v>39.414999999999999</v>
      </c>
      <c r="O12" s="275">
        <f t="shared" si="1"/>
        <v>39.325000000000003</v>
      </c>
      <c r="P12" s="55">
        <f>(P8+P11)/2</f>
        <v>34.14</v>
      </c>
      <c r="Q12" s="55">
        <f t="shared" si="1"/>
        <v>39.370000000000005</v>
      </c>
      <c r="R12" s="55"/>
      <c r="S12" s="55"/>
      <c r="T12" s="37"/>
      <c r="U12" s="37"/>
      <c r="V12" s="19"/>
      <c r="W12" s="31"/>
      <c r="X12" s="31">
        <f>X11/W13</f>
        <v>0.33499999999999996</v>
      </c>
      <c r="Y12" s="31"/>
      <c r="Z12" s="31">
        <f>Z11/Y13</f>
        <v>0.61199999999999988</v>
      </c>
      <c r="AA12" s="31"/>
      <c r="AB12" s="31">
        <f>AB11/AA13</f>
        <v>0.57824999999999993</v>
      </c>
      <c r="AC12" s="31"/>
      <c r="AD12" s="31">
        <f>AD11/AC13</f>
        <v>0.64400000000000002</v>
      </c>
      <c r="AE12" s="31"/>
      <c r="AF12" s="31">
        <f>AF11/AE13</f>
        <v>0.46087499999999998</v>
      </c>
      <c r="AG12" s="21"/>
      <c r="AH12" s="31"/>
      <c r="AI12" s="114"/>
      <c r="AJ12" s="164"/>
      <c r="AK12" s="31"/>
      <c r="AL12" s="21"/>
      <c r="AQ12" s="73"/>
      <c r="AR12" s="21"/>
      <c r="AS12" s="73"/>
      <c r="AT12" s="45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66"/>
      <c r="BF12" s="66"/>
      <c r="BG12" s="66"/>
      <c r="BH12" s="66"/>
      <c r="BI12" s="66"/>
      <c r="BJ12" s="21"/>
      <c r="BK12" s="66"/>
      <c r="BL12" s="66"/>
      <c r="BM12" s="21"/>
      <c r="BN12" s="66"/>
      <c r="BO12" s="66"/>
      <c r="BP12" s="66"/>
      <c r="BQ12" s="66"/>
      <c r="BR12" s="66"/>
      <c r="BS12" s="66"/>
      <c r="BT12" s="21"/>
      <c r="BU12" s="66"/>
      <c r="BV12" s="66"/>
      <c r="BW12" s="16"/>
      <c r="BX12" s="66"/>
      <c r="BY12" s="66"/>
      <c r="BZ12" s="66"/>
      <c r="CA12" s="66"/>
      <c r="CB12" s="66"/>
      <c r="CC12" s="66"/>
      <c r="CD12" s="21"/>
      <c r="CE12" s="66"/>
      <c r="CF12" s="66"/>
      <c r="CG12" s="16"/>
      <c r="CL12" s="20"/>
      <c r="CM12" s="19"/>
      <c r="CN12" s="20"/>
      <c r="CO12" s="16"/>
      <c r="CP12" s="20"/>
      <c r="CQ12" s="16"/>
      <c r="CR12" s="20"/>
      <c r="CS12" s="16"/>
      <c r="CT12" s="20"/>
      <c r="CU12" s="19"/>
      <c r="CV12" s="20"/>
      <c r="CW12" s="16"/>
      <c r="CX12" s="20"/>
      <c r="CY12" s="16"/>
      <c r="CZ12" s="16"/>
      <c r="DA12" s="16"/>
      <c r="DB12" s="16"/>
      <c r="DH12" s="6"/>
      <c r="DI12" s="2"/>
      <c r="DK12" s="8"/>
      <c r="DM12" s="8"/>
      <c r="DN12" s="8"/>
      <c r="DO12" s="8"/>
      <c r="DP12" s="8"/>
      <c r="DQ12" s="8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O12" s="5"/>
      <c r="EY12" s="2"/>
    </row>
    <row r="13" spans="1:203" ht="15.75" x14ac:dyDescent="0.25">
      <c r="A13" t="s">
        <v>32</v>
      </c>
      <c r="B13" s="32">
        <v>40</v>
      </c>
      <c r="C13" s="32"/>
      <c r="D13" s="32">
        <v>40</v>
      </c>
      <c r="E13" s="32"/>
      <c r="F13" s="32">
        <v>40</v>
      </c>
      <c r="G13" s="32"/>
      <c r="H13" s="41"/>
      <c r="I13" s="32"/>
      <c r="J13" s="32"/>
      <c r="K13" s="37"/>
      <c r="L13" s="55">
        <v>40</v>
      </c>
      <c r="M13" s="55">
        <v>40</v>
      </c>
      <c r="N13" s="55">
        <v>40</v>
      </c>
      <c r="O13" s="55">
        <v>40</v>
      </c>
      <c r="P13" s="55">
        <v>40</v>
      </c>
      <c r="Q13" s="55">
        <v>40</v>
      </c>
      <c r="R13" s="55"/>
      <c r="S13" s="55"/>
      <c r="T13" s="37"/>
      <c r="U13" s="37"/>
      <c r="V13" s="19"/>
      <c r="W13" s="32">
        <v>10</v>
      </c>
      <c r="X13" s="32"/>
      <c r="Y13" s="32">
        <v>20</v>
      </c>
      <c r="Z13" s="32"/>
      <c r="AA13" s="32">
        <v>40</v>
      </c>
      <c r="AB13" s="32"/>
      <c r="AC13" s="32">
        <v>60</v>
      </c>
      <c r="AD13" s="32"/>
      <c r="AE13" s="32">
        <v>80</v>
      </c>
      <c r="AF13" s="32"/>
      <c r="AG13" s="22"/>
      <c r="AH13" s="32"/>
      <c r="AI13" s="115"/>
      <c r="AJ13" s="165"/>
      <c r="AK13" s="32"/>
      <c r="AL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67"/>
      <c r="BF13" s="67"/>
      <c r="BG13" s="67"/>
      <c r="BH13" s="67"/>
      <c r="BI13" s="67"/>
      <c r="BJ13" s="22"/>
      <c r="BK13" s="67"/>
      <c r="BL13" s="67"/>
      <c r="BM13" s="22"/>
      <c r="BN13" s="67"/>
      <c r="BO13" s="67"/>
      <c r="BP13" s="67"/>
      <c r="BQ13" s="67"/>
      <c r="BR13" s="67"/>
      <c r="BS13" s="67"/>
      <c r="BT13" s="22"/>
      <c r="BU13" s="67"/>
      <c r="BV13" s="67"/>
      <c r="BW13" s="19"/>
      <c r="BX13" s="67"/>
      <c r="BY13" s="67"/>
      <c r="BZ13" s="67"/>
      <c r="CA13" s="67"/>
      <c r="CB13" s="67"/>
      <c r="CC13" s="67"/>
      <c r="CD13" s="22"/>
      <c r="CE13" s="67"/>
      <c r="CF13" s="67"/>
      <c r="CG13" s="16"/>
      <c r="CL13" s="44"/>
      <c r="CM13" s="16"/>
      <c r="CN13" s="44"/>
      <c r="CO13" s="16"/>
      <c r="CP13" s="44"/>
      <c r="CQ13" s="16"/>
      <c r="CR13" s="44"/>
      <c r="CS13" s="16"/>
      <c r="CT13" s="44"/>
      <c r="CU13" s="16"/>
      <c r="CV13" s="44"/>
      <c r="CW13" s="16"/>
      <c r="CX13" s="44"/>
      <c r="CY13" s="19"/>
      <c r="CZ13" s="19"/>
      <c r="DA13" s="19"/>
      <c r="DB13" s="19"/>
      <c r="DC13" s="1"/>
      <c r="DD13" s="1"/>
      <c r="DH13" s="6"/>
      <c r="DI13" s="2"/>
      <c r="DK13" s="8"/>
      <c r="DM13" s="8"/>
      <c r="DN13" s="8"/>
      <c r="DO13" s="8"/>
      <c r="DP13" s="8"/>
      <c r="DQ13" s="8"/>
      <c r="DR13" s="14"/>
      <c r="DS13" s="15"/>
      <c r="DT13" s="15"/>
      <c r="DU13" s="15"/>
      <c r="DV13" s="15"/>
      <c r="DW13" s="15"/>
      <c r="DX13" s="15"/>
      <c r="DY13" s="15"/>
      <c r="DZ13" s="14"/>
      <c r="EA13" s="14"/>
      <c r="EB13" s="14"/>
      <c r="EE13" s="2"/>
      <c r="EW13" s="2"/>
    </row>
    <row r="14" spans="1:203" ht="15.75" x14ac:dyDescent="0.25">
      <c r="A14" t="s">
        <v>11</v>
      </c>
      <c r="B14" s="30">
        <f>ABS(B11-B13)/B13</f>
        <v>0.29175000000000006</v>
      </c>
      <c r="C14" s="33"/>
      <c r="D14" s="30">
        <f>ABS(D11-D13)/D13</f>
        <v>0.28799999999999998</v>
      </c>
      <c r="E14" s="34"/>
      <c r="F14" s="30">
        <f>ABS(F11-F13)/F13</f>
        <v>0.30349999999999999</v>
      </c>
      <c r="G14" s="34"/>
      <c r="H14" s="34"/>
      <c r="I14" s="34"/>
      <c r="J14" s="34"/>
      <c r="K14" s="38"/>
      <c r="L14" s="30">
        <f t="shared" ref="L14:Q14" si="2">(L12-L13)/L13</f>
        <v>-0.10749999999999993</v>
      </c>
      <c r="M14" s="30">
        <f t="shared" si="2"/>
        <v>-0.18550000000000005</v>
      </c>
      <c r="N14" s="30">
        <f t="shared" si="2"/>
        <v>-1.4625000000000022E-2</v>
      </c>
      <c r="O14" s="30">
        <f t="shared" si="2"/>
        <v>-1.6874999999999928E-2</v>
      </c>
      <c r="P14" s="30">
        <f>(P12-P13)/P13</f>
        <v>-0.14649999999999999</v>
      </c>
      <c r="Q14" s="30">
        <f t="shared" si="2"/>
        <v>-1.5749999999999886E-2</v>
      </c>
      <c r="R14" s="56"/>
      <c r="S14" s="56"/>
      <c r="T14" s="19"/>
      <c r="U14" s="19"/>
      <c r="V14" s="19"/>
      <c r="W14" s="49">
        <f>ABS(X11-W13)/W13</f>
        <v>0.66500000000000004</v>
      </c>
      <c r="X14" s="23"/>
      <c r="Y14" s="49">
        <f>ABS(Z11-Y13)/Y13</f>
        <v>0.38800000000000007</v>
      </c>
      <c r="Z14" s="38"/>
      <c r="AA14" s="49">
        <f>ABS(AB11-AA13)/AA13</f>
        <v>0.42175000000000001</v>
      </c>
      <c r="AB14" s="38"/>
      <c r="AC14" s="49">
        <f>ABS(AD11-AC13)/AC13</f>
        <v>0.35599999999999998</v>
      </c>
      <c r="AD14" s="38"/>
      <c r="AE14" s="49">
        <f>ABS(AF11-AE13)/AE13</f>
        <v>0.53912500000000008</v>
      </c>
      <c r="AF14" s="38"/>
      <c r="AG14" s="38"/>
      <c r="AH14" s="38"/>
      <c r="AI14" s="16"/>
      <c r="AJ14" s="38"/>
      <c r="AK14" s="23"/>
      <c r="AL14" s="38"/>
      <c r="AM14" s="38"/>
      <c r="AN14" s="38"/>
      <c r="AO14" s="38"/>
      <c r="AP14" s="38"/>
      <c r="AQ14" s="38"/>
      <c r="AR14" s="38"/>
      <c r="AS14" s="16"/>
      <c r="AT14" s="45"/>
      <c r="AU14" s="38"/>
      <c r="AV14" s="36"/>
      <c r="AW14" s="38"/>
      <c r="AX14" s="36"/>
      <c r="AY14" s="38"/>
      <c r="AZ14" s="38"/>
      <c r="BA14" s="38"/>
      <c r="BB14" s="38"/>
      <c r="BC14" s="16"/>
      <c r="BD14" s="23"/>
      <c r="BE14" s="23"/>
      <c r="BF14" s="38"/>
      <c r="BG14" s="38"/>
      <c r="BH14" s="38"/>
      <c r="BI14" s="38"/>
      <c r="BJ14" s="38"/>
      <c r="BK14" s="38"/>
      <c r="BL14" s="38"/>
      <c r="BM14" s="20"/>
      <c r="BN14" s="23"/>
      <c r="BO14" s="23"/>
      <c r="BP14" s="23"/>
      <c r="BQ14" s="38"/>
      <c r="BR14" s="23"/>
      <c r="BS14" s="38"/>
      <c r="BT14" s="38"/>
      <c r="BU14" s="38"/>
      <c r="BV14" s="38"/>
      <c r="BW14" s="16"/>
      <c r="BX14" s="38"/>
      <c r="BY14" s="23"/>
      <c r="BZ14" s="38"/>
      <c r="CA14" s="38"/>
      <c r="CB14" s="38"/>
      <c r="CC14" s="38"/>
      <c r="CD14" s="38"/>
      <c r="CE14" s="38"/>
      <c r="CF14" s="38"/>
      <c r="CG14" s="16"/>
      <c r="CL14" s="19"/>
      <c r="CM14" s="19"/>
      <c r="CN14" s="19"/>
      <c r="CO14" s="19"/>
      <c r="CP14" s="19"/>
      <c r="CQ14" s="19"/>
      <c r="CR14" s="19"/>
      <c r="CS14" s="16"/>
      <c r="CT14" s="16"/>
      <c r="CU14" s="16"/>
      <c r="CV14" s="47"/>
      <c r="CW14" s="16"/>
      <c r="CX14" s="16"/>
      <c r="CY14" s="16"/>
      <c r="CZ14" s="16"/>
      <c r="DA14" s="16"/>
      <c r="DB14" s="16"/>
      <c r="DH14" s="6"/>
      <c r="DI14" s="2"/>
      <c r="DK14" s="8"/>
      <c r="DM14" s="8"/>
      <c r="DN14" s="8"/>
      <c r="DO14" s="8"/>
      <c r="DP14" s="8"/>
      <c r="DQ14" s="8"/>
      <c r="DR14" s="14"/>
      <c r="DS14" s="42"/>
      <c r="DT14" s="42"/>
      <c r="DU14" s="42"/>
      <c r="DV14" s="42"/>
      <c r="DW14" s="42"/>
      <c r="DX14" s="42"/>
      <c r="DY14" s="42"/>
      <c r="DZ14" s="15"/>
      <c r="EA14" s="14"/>
      <c r="EB14" s="14"/>
    </row>
    <row r="15" spans="1:203" ht="60" x14ac:dyDescent="0.25">
      <c r="A15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9"/>
      <c r="M15" s="19"/>
      <c r="N15" s="19"/>
      <c r="O15" s="19"/>
      <c r="P15" s="19"/>
      <c r="U15" s="35"/>
      <c r="V15" s="142" t="s">
        <v>129</v>
      </c>
      <c r="W15" s="103">
        <f>AVERAGE(X22,X11)</f>
        <v>3.8849999999999998</v>
      </c>
      <c r="X15" s="71"/>
      <c r="Y15" s="103">
        <f>AVERAGE(Z11,Z22)</f>
        <v>9.7349999999999994</v>
      </c>
      <c r="Z15" s="71"/>
      <c r="AA15" s="103">
        <f>AVERAGE(AB11,AB22)</f>
        <v>20.324999999999999</v>
      </c>
      <c r="AB15" s="71"/>
      <c r="AC15" s="103">
        <f>AVERAGE(AD11,AD22)</f>
        <v>31.495000000000001</v>
      </c>
      <c r="AD15" s="71"/>
      <c r="AE15" s="103">
        <f>AVERAGE(AF11,AF22)</f>
        <v>37.369999999999997</v>
      </c>
      <c r="AF15" s="16"/>
      <c r="AG15" s="16"/>
      <c r="AH15" s="16"/>
      <c r="AI15" s="149"/>
      <c r="AJ15" s="167"/>
      <c r="AK15" s="16"/>
      <c r="AL15" s="167"/>
      <c r="AM15" s="16"/>
      <c r="AN15" s="167"/>
      <c r="AO15" s="16"/>
      <c r="AP15" s="167"/>
      <c r="AQ15" s="16"/>
      <c r="AR15" s="167"/>
      <c r="AS15" s="16"/>
      <c r="AT15" s="16"/>
      <c r="AU15" s="16"/>
      <c r="AV15" s="16"/>
      <c r="AW15" s="16"/>
      <c r="AX15" s="20"/>
      <c r="AY15" s="16"/>
      <c r="AZ15" s="16"/>
      <c r="BA15" s="16"/>
      <c r="BB15" s="16"/>
      <c r="BC15" s="16"/>
      <c r="BD15" s="16"/>
      <c r="BE15" s="16"/>
      <c r="BF15" s="19"/>
      <c r="BG15" s="19"/>
      <c r="BH15" s="19"/>
      <c r="BI15" s="19"/>
      <c r="BJ15" s="19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20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H15" s="6"/>
      <c r="DI15" s="2"/>
      <c r="DK15" s="8"/>
      <c r="DM15" s="8"/>
      <c r="DN15" s="8"/>
      <c r="DO15" s="8"/>
      <c r="DP15" s="8"/>
      <c r="DQ15" s="8"/>
      <c r="DR15" s="14"/>
      <c r="DS15" s="42"/>
      <c r="DT15" s="42"/>
      <c r="DU15" s="42"/>
      <c r="DV15" s="42"/>
      <c r="DW15" s="42"/>
      <c r="DX15" s="42"/>
      <c r="DY15" s="42"/>
      <c r="DZ15" s="14"/>
      <c r="EA15" s="14"/>
      <c r="EB15" s="14"/>
    </row>
    <row r="16" spans="1:203" x14ac:dyDescent="0.25">
      <c r="A16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9"/>
      <c r="M16" s="19"/>
      <c r="N16" s="19"/>
      <c r="O16" s="19"/>
      <c r="P16" s="19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9"/>
      <c r="BG16" s="19"/>
      <c r="BH16" s="19"/>
      <c r="BI16" s="19"/>
      <c r="BJ16" s="19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H16" s="6"/>
      <c r="DI16" s="2"/>
      <c r="DK16" s="8"/>
      <c r="DM16" s="8"/>
      <c r="DN16" s="8"/>
      <c r="DO16" s="8"/>
      <c r="DP16" s="8"/>
      <c r="DQ16" s="8"/>
      <c r="DR16" s="14"/>
      <c r="DS16" s="42"/>
      <c r="DT16" s="42"/>
      <c r="DU16" s="42"/>
      <c r="DV16" s="42"/>
      <c r="DW16" s="42"/>
      <c r="DX16" s="42"/>
      <c r="DY16" s="42"/>
      <c r="DZ16" s="14"/>
      <c r="EA16" s="14"/>
      <c r="EB16" s="14"/>
    </row>
    <row r="17" spans="1:132" ht="45" x14ac:dyDescent="0.25">
      <c r="A17" t="s">
        <v>22</v>
      </c>
      <c r="B17" s="24" t="s">
        <v>47</v>
      </c>
      <c r="C17" s="25" t="s">
        <v>16</v>
      </c>
      <c r="D17" s="26" t="s">
        <v>48</v>
      </c>
      <c r="E17" s="25" t="s">
        <v>16</v>
      </c>
      <c r="F17" s="26" t="s">
        <v>49</v>
      </c>
      <c r="G17" s="25" t="s">
        <v>16</v>
      </c>
      <c r="H17" s="39"/>
      <c r="I17" s="24" t="s">
        <v>31</v>
      </c>
      <c r="J17" s="24" t="s">
        <v>33</v>
      </c>
      <c r="K17" s="36"/>
      <c r="L17" s="157"/>
      <c r="M17" s="157"/>
      <c r="N17" s="157"/>
      <c r="O17" s="157"/>
      <c r="P17" s="157"/>
      <c r="Q17" s="158"/>
      <c r="R17" s="158"/>
      <c r="S17" s="157"/>
      <c r="T17" s="60"/>
      <c r="U17" s="18"/>
      <c r="V17" s="18"/>
      <c r="W17" s="24" t="s">
        <v>246</v>
      </c>
      <c r="X17" s="25" t="s">
        <v>16</v>
      </c>
      <c r="Y17" s="26" t="s">
        <v>247</v>
      </c>
      <c r="Z17" s="25" t="s">
        <v>16</v>
      </c>
      <c r="AA17" s="26" t="s">
        <v>248</v>
      </c>
      <c r="AB17" s="25" t="s">
        <v>16</v>
      </c>
      <c r="AC17" s="26" t="s">
        <v>250</v>
      </c>
      <c r="AD17" s="25" t="s">
        <v>16</v>
      </c>
      <c r="AE17" s="26" t="s">
        <v>251</v>
      </c>
      <c r="AF17" s="25" t="s">
        <v>16</v>
      </c>
      <c r="AG17" s="17"/>
      <c r="AH17" s="17"/>
      <c r="AI17" s="18"/>
      <c r="AJ17" s="17"/>
      <c r="AK17" s="18"/>
      <c r="AL17" s="60"/>
      <c r="AM17" s="18"/>
      <c r="AN17" s="60"/>
      <c r="AO17" s="18"/>
      <c r="AP17" s="60"/>
      <c r="AQ17" s="18"/>
      <c r="AR17" s="60"/>
      <c r="AS17" s="18"/>
      <c r="AT17" s="17"/>
      <c r="AU17" s="18"/>
      <c r="AV17" s="60"/>
      <c r="AW17" s="18"/>
      <c r="AX17" s="60"/>
      <c r="AY17" s="18"/>
      <c r="AZ17" s="17"/>
      <c r="BA17" s="17"/>
      <c r="BB17" s="17"/>
      <c r="BC17" s="18"/>
      <c r="BD17" s="63"/>
      <c r="BE17" s="18"/>
      <c r="BF17" s="64"/>
      <c r="BG17" s="18"/>
      <c r="BH17" s="64"/>
      <c r="BI17" s="18"/>
      <c r="BJ17" s="17"/>
      <c r="BK17" s="63"/>
      <c r="BL17" s="63"/>
      <c r="BM17" s="17"/>
      <c r="BN17" s="65"/>
      <c r="BO17" s="18"/>
      <c r="BP17" s="64"/>
      <c r="BQ17" s="18"/>
      <c r="BR17" s="64"/>
      <c r="BS17" s="18"/>
      <c r="BT17" s="17"/>
      <c r="BU17" s="63"/>
      <c r="BV17" s="63"/>
      <c r="BW17" s="16"/>
      <c r="BX17" s="65"/>
      <c r="BY17" s="18"/>
      <c r="BZ17" s="64"/>
      <c r="CA17" s="18"/>
      <c r="CB17" s="64"/>
      <c r="CC17" s="18"/>
      <c r="CD17" s="17"/>
      <c r="CE17" s="63"/>
      <c r="CF17" s="63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H17" s="6"/>
      <c r="DI17" s="2"/>
      <c r="DK17" s="8"/>
      <c r="DM17" s="8"/>
      <c r="DN17" s="8"/>
      <c r="DO17" s="8"/>
      <c r="DP17" s="8"/>
      <c r="DQ17" s="8"/>
      <c r="DR17" s="14"/>
      <c r="DS17" s="42"/>
      <c r="DT17" s="42"/>
      <c r="DU17" s="42"/>
      <c r="DV17" s="42"/>
      <c r="DW17" s="42"/>
      <c r="DX17" s="42"/>
      <c r="DY17" s="42"/>
      <c r="DZ17" s="14"/>
      <c r="EA17" s="14"/>
      <c r="EB17" s="14"/>
    </row>
    <row r="18" spans="1:132" ht="15.75" x14ac:dyDescent="0.25">
      <c r="B18" t="s">
        <v>158</v>
      </c>
      <c r="C18" s="29" t="e">
        <f>B18/AVERAGE(#REF!,$O7)</f>
        <v>#VALUE!</v>
      </c>
      <c r="D18" s="12" t="s">
        <v>158</v>
      </c>
      <c r="E18" s="29" t="e">
        <f>D18/AVERAGE(#REF!,$O7)</f>
        <v>#VALUE!</v>
      </c>
      <c r="F18" s="12" t="s">
        <v>159</v>
      </c>
      <c r="G18" s="29" t="e">
        <f>F18/AVERAGE(#REF!,$O7)</f>
        <v>#VALUE!</v>
      </c>
      <c r="H18" s="33"/>
      <c r="I18" s="12" t="e">
        <f>AVERAGE(F18,D18,B18)</f>
        <v>#DIV/0!</v>
      </c>
      <c r="J18" s="30" t="e">
        <f>STDEV(D18,F18)/I18</f>
        <v>#DIV/0!</v>
      </c>
      <c r="K18" s="36"/>
      <c r="L18" s="16"/>
      <c r="M18" s="16"/>
      <c r="N18" s="16"/>
      <c r="O18" s="16"/>
      <c r="P18" s="16"/>
      <c r="Q18" s="159"/>
      <c r="R18" s="159"/>
      <c r="S18" s="160"/>
      <c r="T18" s="16"/>
      <c r="U18" s="23"/>
      <c r="V18" s="16"/>
      <c r="W18" s="12" t="s">
        <v>158</v>
      </c>
      <c r="X18" s="29" t="e">
        <f>W18/AVERAGE(#REF!,$O7)</f>
        <v>#VALUE!</v>
      </c>
      <c r="Y18" s="12" t="s">
        <v>158</v>
      </c>
      <c r="Z18" s="29" t="e">
        <f>Y18/AVERAGE(#REF!,$O7)</f>
        <v>#VALUE!</v>
      </c>
      <c r="AA18" s="12" t="s">
        <v>159</v>
      </c>
      <c r="AB18" s="29" t="e">
        <f>AA18/AVERAGE(#REF!,$O7)</f>
        <v>#VALUE!</v>
      </c>
      <c r="AC18" s="12" t="s">
        <v>159</v>
      </c>
      <c r="AD18" s="29" t="e">
        <f>AC18/AVERAGE(#REF!,$O7)</f>
        <v>#VALUE!</v>
      </c>
      <c r="AE18" s="12" t="s">
        <v>158</v>
      </c>
      <c r="AF18" s="168" t="e">
        <f>AE18/AVERAGE(#REF!,$O7)</f>
        <v>#VALUE!</v>
      </c>
      <c r="AG18" s="16"/>
      <c r="AH18" s="38"/>
      <c r="AI18" s="20"/>
      <c r="AJ18" s="16"/>
      <c r="AK18" s="23"/>
      <c r="AL18" s="16"/>
      <c r="AM18" s="23"/>
      <c r="AN18" s="16"/>
      <c r="AO18" s="23"/>
      <c r="AP18" s="16"/>
      <c r="AQ18" s="23"/>
      <c r="AR18" s="16"/>
      <c r="AS18" s="23"/>
      <c r="AT18" s="43"/>
      <c r="AU18" s="23"/>
      <c r="AV18" s="16"/>
      <c r="AW18" s="23"/>
      <c r="AX18" s="16"/>
      <c r="AY18" s="23"/>
      <c r="AZ18" s="23"/>
      <c r="BA18" s="16"/>
      <c r="BB18" s="38"/>
      <c r="BC18" s="20"/>
      <c r="BD18" s="43"/>
      <c r="BE18" s="23"/>
      <c r="BF18" s="16"/>
      <c r="BG18" s="23"/>
      <c r="BH18" s="16"/>
      <c r="BI18" s="23"/>
      <c r="BJ18" s="23"/>
      <c r="BK18" s="16"/>
      <c r="BL18" s="38"/>
      <c r="BM18" s="16"/>
      <c r="BN18" s="43"/>
      <c r="BO18" s="23"/>
      <c r="BP18" s="16"/>
      <c r="BQ18" s="23"/>
      <c r="BR18" s="16"/>
      <c r="BS18" s="23"/>
      <c r="BT18" s="23"/>
      <c r="BU18" s="16"/>
      <c r="BV18" s="38"/>
      <c r="BW18" s="20"/>
      <c r="BX18" s="43"/>
      <c r="BY18" s="23"/>
      <c r="BZ18" s="16"/>
      <c r="CA18" s="23"/>
      <c r="CB18" s="16"/>
      <c r="CC18" s="23"/>
      <c r="CD18" s="23"/>
      <c r="CE18" s="16"/>
      <c r="CF18" s="38"/>
      <c r="CQ18" s="2"/>
      <c r="DH18" s="6"/>
      <c r="DI18" s="2"/>
      <c r="DK18" s="8"/>
      <c r="DM18" s="8"/>
      <c r="DN18" s="8"/>
      <c r="DO18" s="8"/>
      <c r="DP18" s="8"/>
      <c r="DQ18" s="8"/>
      <c r="DR18" s="14"/>
      <c r="DS18" s="42"/>
      <c r="DT18" s="42"/>
      <c r="DU18" s="42"/>
      <c r="DV18" s="42"/>
      <c r="DW18" s="42"/>
      <c r="DX18" s="42"/>
      <c r="DY18" s="42"/>
      <c r="DZ18" s="14"/>
      <c r="EA18" s="14"/>
      <c r="EB18" s="14"/>
    </row>
    <row r="19" spans="1:132" ht="15.75" x14ac:dyDescent="0.25">
      <c r="B19">
        <v>26.71</v>
      </c>
      <c r="C19" s="30">
        <f>B19/Q8</f>
        <v>0.70624008461131682</v>
      </c>
      <c r="D19" s="12">
        <v>27.17</v>
      </c>
      <c r="E19" s="30">
        <f>D19/Q8</f>
        <v>0.71840296139608673</v>
      </c>
      <c r="F19" s="12">
        <v>31.1</v>
      </c>
      <c r="G19" s="30">
        <f>F19/Q8</f>
        <v>0.82231623479640403</v>
      </c>
      <c r="H19" s="34"/>
      <c r="I19" s="274">
        <f>AVERAGE(F19,D19,B19)</f>
        <v>28.326666666666668</v>
      </c>
      <c r="J19" s="30">
        <f>STDEV(B19,F19)/I19</f>
        <v>0.10958574144771513</v>
      </c>
      <c r="K19" s="175"/>
      <c r="L19" s="16"/>
      <c r="M19" s="16"/>
      <c r="N19" s="16"/>
      <c r="O19" s="16"/>
      <c r="P19" s="16"/>
      <c r="Q19" s="159"/>
      <c r="R19" s="159"/>
      <c r="S19" s="160"/>
      <c r="T19" s="16"/>
      <c r="U19" s="38"/>
      <c r="V19" s="16"/>
      <c r="W19" s="12">
        <v>42.08</v>
      </c>
      <c r="X19" s="98">
        <f>(W19/2)/$Q$8</f>
        <v>0.55631940772078259</v>
      </c>
      <c r="Y19" s="12">
        <v>47.04</v>
      </c>
      <c r="Z19" s="98">
        <f>(Y19/2)/$Q$8</f>
        <v>0.62189317821258594</v>
      </c>
      <c r="AA19" s="12">
        <v>44.32</v>
      </c>
      <c r="AB19" s="98">
        <f>(AA19/2)/$Q$8</f>
        <v>0.58593336858804868</v>
      </c>
      <c r="AC19" s="12">
        <v>44.31</v>
      </c>
      <c r="AD19" s="98">
        <f>(AC19/2)/$Q$8</f>
        <v>0.58580116340560551</v>
      </c>
      <c r="AE19" s="12">
        <v>49.98</v>
      </c>
      <c r="AF19" s="98">
        <f>(AE19/2)/$Q$8</f>
        <v>0.66076150185087246</v>
      </c>
      <c r="AG19" s="16"/>
      <c r="AH19" s="23"/>
      <c r="AI19" s="20"/>
      <c r="AJ19" s="16"/>
      <c r="AK19" s="38"/>
      <c r="AL19" s="16"/>
      <c r="AM19" s="38"/>
      <c r="AN19" s="16"/>
      <c r="AO19" s="38"/>
      <c r="AP19" s="16"/>
      <c r="AQ19" s="38"/>
      <c r="AR19" s="16"/>
      <c r="AS19" s="38"/>
      <c r="AT19" s="43"/>
      <c r="AU19" s="38"/>
      <c r="AV19" s="16"/>
      <c r="AW19" s="38"/>
      <c r="AX19" s="16"/>
      <c r="AY19" s="38"/>
      <c r="AZ19" s="38"/>
      <c r="BA19" s="16"/>
      <c r="BB19" s="38"/>
      <c r="BC19" s="20"/>
      <c r="BD19" s="43"/>
      <c r="BE19" s="38"/>
      <c r="BF19" s="16"/>
      <c r="BG19" s="38"/>
      <c r="BH19" s="16"/>
      <c r="BI19" s="38"/>
      <c r="BJ19" s="38"/>
      <c r="BK19" s="16"/>
      <c r="BL19" s="38"/>
      <c r="BM19" s="16"/>
      <c r="BN19" s="43"/>
      <c r="BO19" s="23"/>
      <c r="BP19" s="16"/>
      <c r="BQ19" s="23"/>
      <c r="BR19" s="16"/>
      <c r="BS19" s="23"/>
      <c r="BT19" s="38"/>
      <c r="BU19" s="16"/>
      <c r="BV19" s="38"/>
      <c r="BW19" s="20"/>
      <c r="BX19" s="43"/>
      <c r="BY19" s="23"/>
      <c r="BZ19" s="16"/>
      <c r="CA19" s="23"/>
      <c r="CB19" s="16"/>
      <c r="CC19" s="23"/>
      <c r="CD19" s="38"/>
      <c r="CE19" s="16"/>
      <c r="CF19" s="38"/>
      <c r="DF19" s="10"/>
      <c r="DG19" s="10"/>
      <c r="DH19" s="10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</row>
    <row r="20" spans="1:132" ht="15.75" x14ac:dyDescent="0.25">
      <c r="A20" t="s">
        <v>0</v>
      </c>
      <c r="B20">
        <v>9.5399999999999991</v>
      </c>
      <c r="C20" s="30">
        <f>B20/Q9</f>
        <v>0.7800490596892885</v>
      </c>
      <c r="D20" s="12">
        <v>9.08</v>
      </c>
      <c r="E20" s="30">
        <f>D20/Q9</f>
        <v>0.74243663123466885</v>
      </c>
      <c r="F20" s="12">
        <v>9.4600000000000009</v>
      </c>
      <c r="G20" s="30">
        <f>F20/Q9</f>
        <v>0.77350776778413743</v>
      </c>
      <c r="H20" s="34"/>
      <c r="I20" s="12">
        <f>AVERAGE(F20,D20,B20)</f>
        <v>9.36</v>
      </c>
      <c r="J20" s="30">
        <f>STDEV(B20,F20)/I20</f>
        <v>6.0436477024489958E-3</v>
      </c>
      <c r="K20" s="35"/>
      <c r="L20" s="16"/>
      <c r="M20" s="16"/>
      <c r="N20" s="16"/>
      <c r="O20" s="16"/>
      <c r="P20" s="16"/>
      <c r="Q20" s="159"/>
      <c r="R20" s="159"/>
      <c r="S20" s="160"/>
      <c r="T20" s="16"/>
      <c r="U20" s="16"/>
      <c r="V20" s="16"/>
      <c r="W20" s="12">
        <v>1.89</v>
      </c>
      <c r="X20" s="12">
        <v>1.89</v>
      </c>
      <c r="Y20" s="12">
        <v>3.07</v>
      </c>
      <c r="Z20" s="12">
        <v>3.07</v>
      </c>
      <c r="AA20" s="12">
        <v>6.21</v>
      </c>
      <c r="AB20" s="12">
        <v>6.21</v>
      </c>
      <c r="AC20" s="12">
        <v>8.99</v>
      </c>
      <c r="AD20" s="12">
        <v>8.99</v>
      </c>
      <c r="AE20" s="12">
        <v>13.92</v>
      </c>
      <c r="AF20" s="12">
        <v>13.92</v>
      </c>
      <c r="AG20" s="16"/>
      <c r="AH20" s="45"/>
      <c r="AI20" s="43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45"/>
      <c r="AU20" s="45"/>
      <c r="AV20" s="45"/>
      <c r="AW20" s="45"/>
      <c r="AX20" s="45"/>
      <c r="AY20" s="45"/>
      <c r="AZ20" s="45"/>
      <c r="BA20" s="16"/>
      <c r="BB20" s="45"/>
      <c r="BC20" s="19"/>
      <c r="BD20" s="43"/>
      <c r="BE20" s="16"/>
      <c r="BF20" s="16"/>
      <c r="BG20" s="16"/>
      <c r="BH20" s="16"/>
      <c r="BI20" s="16"/>
      <c r="BJ20" s="38"/>
      <c r="BK20" s="16"/>
      <c r="BL20" s="38"/>
      <c r="BM20" s="16"/>
      <c r="BN20" s="43"/>
      <c r="BO20" s="16"/>
      <c r="BP20" s="16"/>
      <c r="BQ20" s="16"/>
      <c r="BR20" s="16"/>
      <c r="BS20" s="16"/>
      <c r="BT20" s="38"/>
      <c r="BU20" s="16"/>
      <c r="BV20" s="38"/>
      <c r="BW20" s="20"/>
      <c r="BX20" s="43"/>
      <c r="BY20" s="16"/>
      <c r="BZ20" s="16"/>
      <c r="CA20" s="16"/>
      <c r="CB20" s="16"/>
      <c r="CC20" s="16"/>
      <c r="CD20" s="38"/>
      <c r="CE20" s="16"/>
      <c r="CF20" s="38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</row>
    <row r="21" spans="1:132" ht="15.75" x14ac:dyDescent="0.25">
      <c r="B21">
        <v>20.05</v>
      </c>
      <c r="C21" s="30">
        <f>B21/Q10</f>
        <v>0.69884977344022314</v>
      </c>
      <c r="D21" s="12">
        <v>20.09</v>
      </c>
      <c r="E21" s="30">
        <f>D21/Q10</f>
        <v>0.70024398745207395</v>
      </c>
      <c r="F21" s="12">
        <v>21.96</v>
      </c>
      <c r="G21" s="30">
        <f>F21/Q10</f>
        <v>0.76542349250609976</v>
      </c>
      <c r="H21" s="34"/>
      <c r="I21" s="12">
        <f>AVERAGE(F21,D21,B21)</f>
        <v>20.7</v>
      </c>
      <c r="J21" s="30">
        <f>STDEV(B21,F21)/I21</f>
        <v>6.5245118457309459E-2</v>
      </c>
      <c r="K21" s="35"/>
      <c r="L21" s="16"/>
      <c r="M21" s="16"/>
      <c r="N21" s="16"/>
      <c r="O21" s="16"/>
      <c r="P21" s="16"/>
      <c r="Q21" s="159"/>
      <c r="R21" s="159"/>
      <c r="S21" s="160"/>
      <c r="T21" s="16"/>
      <c r="U21" s="16"/>
      <c r="V21" s="16"/>
      <c r="W21" s="12">
        <v>2.5299999999999998</v>
      </c>
      <c r="X21" s="12">
        <v>2.5299999999999998</v>
      </c>
      <c r="Y21" s="12">
        <v>4.16</v>
      </c>
      <c r="Z21" s="12">
        <v>4.16</v>
      </c>
      <c r="AA21" s="12">
        <v>11.31</v>
      </c>
      <c r="AB21" s="12">
        <v>11.31</v>
      </c>
      <c r="AC21" s="12">
        <v>15.36</v>
      </c>
      <c r="AD21" s="12">
        <v>15.36</v>
      </c>
      <c r="AE21" s="12">
        <v>23.95</v>
      </c>
      <c r="AF21" s="12">
        <v>23.95</v>
      </c>
      <c r="AG21" s="16"/>
      <c r="AH21" s="45"/>
      <c r="AI21" s="43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45"/>
      <c r="AU21" s="45"/>
      <c r="AV21" s="45"/>
      <c r="AW21" s="45"/>
      <c r="AX21" s="45"/>
      <c r="AY21" s="45"/>
      <c r="AZ21" s="45"/>
      <c r="BA21" s="16"/>
      <c r="BB21" s="45"/>
      <c r="BC21" s="19"/>
      <c r="BD21" s="43"/>
      <c r="BE21" s="16"/>
      <c r="BF21" s="16"/>
      <c r="BG21" s="16"/>
      <c r="BH21" s="16"/>
      <c r="BI21" s="16"/>
      <c r="BJ21" s="38"/>
      <c r="BK21" s="16"/>
      <c r="BL21" s="38"/>
      <c r="BM21" s="16"/>
      <c r="BN21" s="43"/>
      <c r="BO21" s="16"/>
      <c r="BP21" s="16"/>
      <c r="BQ21" s="16"/>
      <c r="BR21" s="16"/>
      <c r="BS21" s="16"/>
      <c r="BT21" s="38"/>
      <c r="BU21" s="16"/>
      <c r="BV21" s="38"/>
      <c r="BW21" s="20"/>
      <c r="BX21" s="43"/>
      <c r="BY21" s="16"/>
      <c r="BZ21" s="16"/>
      <c r="CA21" s="16"/>
      <c r="CB21" s="16"/>
      <c r="CC21" s="16"/>
      <c r="CD21" s="38"/>
      <c r="CE21" s="16"/>
      <c r="CF21" s="38"/>
      <c r="DF21" s="2"/>
      <c r="DG21" s="2"/>
      <c r="DH21" s="2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</row>
    <row r="22" spans="1:132" ht="15.75" x14ac:dyDescent="0.25">
      <c r="A22" t="s">
        <v>20</v>
      </c>
      <c r="B22" s="52">
        <f>SUM(B20,B21)</f>
        <v>29.59</v>
      </c>
      <c r="C22" s="30">
        <f>B22/Q11</f>
        <v>0.72311827956989239</v>
      </c>
      <c r="D22" s="52">
        <f>SUM(D20,D21)</f>
        <v>29.17</v>
      </c>
      <c r="E22" s="30">
        <f>D22/Q11</f>
        <v>0.71285434995112418</v>
      </c>
      <c r="F22" s="52">
        <f>SUM(F20,F21)</f>
        <v>31.42</v>
      </c>
      <c r="G22" s="30">
        <f>F22/Q11</f>
        <v>0.76783968719452589</v>
      </c>
      <c r="H22" s="34"/>
      <c r="I22" s="12">
        <f>AVERAGE(F22,D22,B22)</f>
        <v>30.060000000000002</v>
      </c>
      <c r="J22" s="30">
        <f>STDEV(B22,F22)/I22</f>
        <v>4.3047418814749938E-2</v>
      </c>
      <c r="K22" s="35"/>
      <c r="L22" s="161"/>
      <c r="M22" s="161"/>
      <c r="N22" s="161"/>
      <c r="O22" s="161"/>
      <c r="P22" s="161"/>
      <c r="Q22" s="159"/>
      <c r="R22" s="159"/>
      <c r="S22" s="160"/>
      <c r="T22" s="19"/>
      <c r="U22" s="19"/>
      <c r="V22" s="16"/>
      <c r="W22" s="13">
        <f t="shared" ref="W22:AF22" si="3">SUM(W20,W21)</f>
        <v>4.42</v>
      </c>
      <c r="X22" s="12">
        <f t="shared" si="3"/>
        <v>4.42</v>
      </c>
      <c r="Y22" s="13">
        <f t="shared" si="3"/>
        <v>7.23</v>
      </c>
      <c r="Z22" s="12">
        <f t="shared" si="3"/>
        <v>7.23</v>
      </c>
      <c r="AA22" s="13">
        <f t="shared" si="3"/>
        <v>17.52</v>
      </c>
      <c r="AB22" s="12">
        <f t="shared" si="3"/>
        <v>17.52</v>
      </c>
      <c r="AC22" s="13">
        <f t="shared" si="3"/>
        <v>24.35</v>
      </c>
      <c r="AD22" s="12">
        <f t="shared" si="3"/>
        <v>24.35</v>
      </c>
      <c r="AE22" s="13">
        <f t="shared" si="3"/>
        <v>37.869999999999997</v>
      </c>
      <c r="AF22" s="113">
        <f t="shared" si="3"/>
        <v>37.869999999999997</v>
      </c>
      <c r="AG22" s="16"/>
      <c r="AH22" s="45"/>
      <c r="AI22" s="43"/>
      <c r="AJ22" s="16"/>
      <c r="AK22" s="16"/>
      <c r="AL22" s="16"/>
      <c r="AM22" s="16"/>
      <c r="AN22" s="19"/>
      <c r="AO22" s="16"/>
      <c r="AP22" s="19"/>
      <c r="AQ22" s="16"/>
      <c r="AR22" s="19"/>
      <c r="AS22" s="16"/>
      <c r="AT22" s="21"/>
      <c r="AU22" s="45"/>
      <c r="AV22" s="45"/>
      <c r="AW22" s="45"/>
      <c r="AX22" s="45"/>
      <c r="AY22" s="45"/>
      <c r="AZ22" s="45"/>
      <c r="BA22" s="16"/>
      <c r="BB22" s="45"/>
      <c r="BC22" s="19"/>
      <c r="BD22" s="19"/>
      <c r="BE22" s="16"/>
      <c r="BF22" s="19"/>
      <c r="BG22" s="16"/>
      <c r="BH22" s="19"/>
      <c r="BI22" s="16"/>
      <c r="BJ22" s="38"/>
      <c r="BK22" s="16"/>
      <c r="BL22" s="38"/>
      <c r="BM22" s="19"/>
      <c r="BN22" s="19"/>
      <c r="BO22" s="16"/>
      <c r="BP22" s="19"/>
      <c r="BQ22" s="16"/>
      <c r="BR22" s="19"/>
      <c r="BS22" s="16"/>
      <c r="BT22" s="38"/>
      <c r="BU22" s="16"/>
      <c r="BV22" s="38"/>
      <c r="BW22" s="20"/>
      <c r="BX22" s="19"/>
      <c r="BY22" s="16"/>
      <c r="BZ22" s="19"/>
      <c r="CA22" s="16"/>
      <c r="CB22" s="19"/>
      <c r="CC22" s="16"/>
      <c r="CD22" s="38"/>
      <c r="CE22" s="16"/>
      <c r="CF22" s="38"/>
      <c r="DF22" s="2"/>
      <c r="DG22" s="2"/>
      <c r="DH22" s="2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</row>
    <row r="23" spans="1:132" ht="15.75" x14ac:dyDescent="0.25">
      <c r="A23" t="s">
        <v>1</v>
      </c>
      <c r="B23" s="31"/>
      <c r="C23" s="31"/>
      <c r="D23" s="31"/>
      <c r="E23" s="31"/>
      <c r="F23" s="31"/>
      <c r="G23" s="31"/>
      <c r="H23" s="40"/>
      <c r="I23" s="31"/>
      <c r="J23" s="31"/>
      <c r="K23" s="35"/>
      <c r="L23" s="162"/>
      <c r="M23" s="162"/>
      <c r="N23" s="162"/>
      <c r="O23" s="162"/>
      <c r="P23" s="162"/>
      <c r="Q23" s="162"/>
      <c r="R23" s="162"/>
      <c r="S23" s="162"/>
      <c r="T23" s="21"/>
      <c r="U23" s="73"/>
      <c r="V23" s="19"/>
      <c r="W23" s="31"/>
      <c r="X23" s="31">
        <f>X22/W24</f>
        <v>0.442</v>
      </c>
      <c r="Y23" s="31"/>
      <c r="Z23" s="31">
        <f>Z22/Y24</f>
        <v>0.36150000000000004</v>
      </c>
      <c r="AA23" s="31"/>
      <c r="AB23" s="31">
        <f>AB22/AA24</f>
        <v>0.438</v>
      </c>
      <c r="AC23" s="31"/>
      <c r="AD23" s="31">
        <f>AD22/AC24</f>
        <v>0.40583333333333338</v>
      </c>
      <c r="AE23" s="31"/>
      <c r="AF23" s="31">
        <f>AF22/AE24</f>
        <v>0.47337499999999999</v>
      </c>
      <c r="AG23" s="21"/>
      <c r="AH23" s="21"/>
      <c r="AI23" s="20"/>
      <c r="AJ23" s="21"/>
      <c r="AK23" s="73"/>
      <c r="AL23" s="21"/>
      <c r="AM23" s="73"/>
      <c r="AN23" s="21"/>
      <c r="AO23" s="73"/>
      <c r="AP23" s="21"/>
      <c r="AQ23" s="73"/>
      <c r="AR23" s="21"/>
      <c r="AS23" s="73"/>
      <c r="AT23" s="45"/>
      <c r="AU23" s="73"/>
      <c r="AV23" s="21"/>
      <c r="AW23" s="21"/>
      <c r="AX23" s="21"/>
      <c r="AY23" s="21"/>
      <c r="AZ23" s="21"/>
      <c r="BA23" s="21"/>
      <c r="BB23" s="21"/>
      <c r="BC23" s="20"/>
      <c r="BD23" s="66"/>
      <c r="BE23" s="66"/>
      <c r="BF23" s="66"/>
      <c r="BG23" s="66"/>
      <c r="BH23" s="66"/>
      <c r="BI23" s="66"/>
      <c r="BJ23" s="21"/>
      <c r="BK23" s="66"/>
      <c r="BL23" s="66"/>
      <c r="BM23" s="21"/>
      <c r="BN23" s="66"/>
      <c r="BO23" s="66"/>
      <c r="BP23" s="66"/>
      <c r="BQ23" s="66"/>
      <c r="BR23" s="66"/>
      <c r="BS23" s="66"/>
      <c r="BT23" s="21"/>
      <c r="BU23" s="66"/>
      <c r="BV23" s="66"/>
      <c r="BW23" s="16"/>
      <c r="BX23" s="66"/>
      <c r="BY23" s="66"/>
      <c r="BZ23" s="66"/>
      <c r="CA23" s="66"/>
      <c r="CB23" s="66"/>
      <c r="CC23" s="66"/>
      <c r="CD23" s="21"/>
      <c r="CE23" s="66"/>
      <c r="CF23" s="66"/>
    </row>
    <row r="24" spans="1:132" ht="15.75" x14ac:dyDescent="0.25">
      <c r="B24" s="32">
        <v>40</v>
      </c>
      <c r="C24" s="32"/>
      <c r="D24" s="32">
        <v>40</v>
      </c>
      <c r="E24" s="32"/>
      <c r="F24" s="32">
        <v>40</v>
      </c>
      <c r="G24" s="32"/>
      <c r="H24" s="41"/>
      <c r="I24" s="32"/>
      <c r="J24" s="32"/>
      <c r="K24" s="35"/>
      <c r="L24" s="162"/>
      <c r="M24" s="162"/>
      <c r="N24" s="162"/>
      <c r="O24" s="162"/>
      <c r="P24" s="162"/>
      <c r="Q24" s="162"/>
      <c r="R24" s="162"/>
      <c r="S24" s="162"/>
      <c r="T24" s="22"/>
      <c r="U24" s="22"/>
      <c r="V24" s="19"/>
      <c r="W24" s="32">
        <v>10</v>
      </c>
      <c r="X24" s="32"/>
      <c r="Y24" s="32">
        <v>20</v>
      </c>
      <c r="Z24" s="32"/>
      <c r="AA24" s="32">
        <v>40</v>
      </c>
      <c r="AB24" s="32"/>
      <c r="AC24" s="32">
        <v>60</v>
      </c>
      <c r="AD24" s="32"/>
      <c r="AE24" s="32">
        <v>80</v>
      </c>
      <c r="AF24" s="32"/>
      <c r="AG24" s="22"/>
      <c r="AH24" s="22"/>
      <c r="AI24" s="44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44"/>
      <c r="BD24" s="67"/>
      <c r="BE24" s="67"/>
      <c r="BF24" s="67"/>
      <c r="BG24" s="67"/>
      <c r="BH24" s="67"/>
      <c r="BI24" s="67"/>
      <c r="BJ24" s="22"/>
      <c r="BK24" s="67"/>
      <c r="BL24" s="67"/>
      <c r="BM24" s="22"/>
      <c r="BN24" s="67"/>
      <c r="BO24" s="67"/>
      <c r="BP24" s="67"/>
      <c r="BQ24" s="67"/>
      <c r="BR24" s="67"/>
      <c r="BS24" s="67"/>
      <c r="BT24" s="22"/>
      <c r="BU24" s="67"/>
      <c r="BV24" s="67"/>
      <c r="BW24" s="19"/>
      <c r="BX24" s="67"/>
      <c r="BY24" s="67"/>
      <c r="BZ24" s="67"/>
      <c r="CA24" s="67"/>
      <c r="CB24" s="67"/>
      <c r="CC24" s="67"/>
      <c r="CD24" s="22"/>
      <c r="CE24" s="67"/>
      <c r="CF24" s="67"/>
    </row>
    <row r="25" spans="1:132" ht="15.75" x14ac:dyDescent="0.25">
      <c r="A25" t="s">
        <v>2</v>
      </c>
      <c r="B25" s="30">
        <f>ABS(B22-B24)/B24</f>
        <v>0.26024999999999998</v>
      </c>
      <c r="C25" s="33"/>
      <c r="D25" s="30">
        <f>ABS(D22-D24)/D24</f>
        <v>0.27074999999999994</v>
      </c>
      <c r="E25" s="34"/>
      <c r="F25" s="30">
        <f>ABS(F22-F24)/F24</f>
        <v>0.21449999999999997</v>
      </c>
      <c r="G25" s="34"/>
      <c r="H25" s="34"/>
      <c r="I25" s="34"/>
      <c r="J25" s="34"/>
      <c r="K25" s="35"/>
      <c r="L25" s="38"/>
      <c r="M25" s="38"/>
      <c r="N25" s="38"/>
      <c r="O25" s="38"/>
      <c r="P25" s="38"/>
      <c r="Q25" s="38"/>
      <c r="R25" s="38"/>
      <c r="S25" s="163"/>
      <c r="T25" s="38"/>
      <c r="U25" s="38"/>
      <c r="V25" s="19"/>
      <c r="W25" s="49">
        <f>ABS(X22-W24)/W24</f>
        <v>0.55800000000000005</v>
      </c>
      <c r="X25" s="49"/>
      <c r="Y25" s="49">
        <f>ABS(Z22-Y24)/Y24</f>
        <v>0.63849999999999996</v>
      </c>
      <c r="Z25" s="49"/>
      <c r="AA25" s="49">
        <f>ABS(AB22-AA24)/AA24</f>
        <v>0.56200000000000006</v>
      </c>
      <c r="AB25" s="49"/>
      <c r="AC25" s="49">
        <f>ABS(AD22-AC24)/AC24</f>
        <v>0.59416666666666662</v>
      </c>
      <c r="AD25" s="38"/>
      <c r="AE25" s="49">
        <f>ABS(AF22-AE24)/AE24</f>
        <v>0.52662500000000001</v>
      </c>
      <c r="AF25" s="38"/>
      <c r="AG25" s="38"/>
      <c r="AH25" s="38"/>
      <c r="AI25" s="16"/>
      <c r="AJ25" s="38"/>
      <c r="AK25" s="23"/>
      <c r="AL25" s="38"/>
      <c r="AM25" s="38"/>
      <c r="AN25" s="38"/>
      <c r="AO25" s="38"/>
      <c r="AP25" s="38"/>
      <c r="AQ25" s="38"/>
      <c r="AR25" s="38"/>
      <c r="AS25" s="16"/>
      <c r="AT25" s="45"/>
      <c r="AU25" s="2"/>
      <c r="AV25" s="2"/>
      <c r="AW25" s="2"/>
      <c r="AX25" s="49"/>
      <c r="AY25" s="38"/>
      <c r="AZ25" s="38"/>
      <c r="BA25" s="38"/>
      <c r="BB25" s="38"/>
      <c r="BC25" s="16"/>
      <c r="BD25" s="38"/>
      <c r="BE25" s="23"/>
      <c r="BF25" s="23"/>
      <c r="BG25" s="38"/>
      <c r="BH25" s="23"/>
      <c r="BI25" s="38"/>
      <c r="BJ25" s="38"/>
      <c r="BK25" s="38"/>
      <c r="BL25" s="38"/>
      <c r="BM25" s="20"/>
      <c r="BN25" s="23"/>
      <c r="BO25" s="23"/>
      <c r="BP25" s="23"/>
      <c r="BQ25" s="38"/>
      <c r="BR25" s="23"/>
      <c r="BS25" s="38"/>
      <c r="BT25" s="38"/>
      <c r="BU25" s="38"/>
      <c r="BV25" s="38"/>
      <c r="BW25" s="16"/>
      <c r="BX25" s="38"/>
      <c r="BY25" s="23"/>
      <c r="BZ25" s="38"/>
      <c r="CA25" s="38"/>
      <c r="CB25" s="23"/>
      <c r="CC25" s="38"/>
      <c r="CD25" s="38"/>
      <c r="CE25" s="38"/>
      <c r="CF25" s="38"/>
    </row>
    <row r="26" spans="1:132" x14ac:dyDescent="0.25">
      <c r="A26" t="s">
        <v>4</v>
      </c>
      <c r="B26" s="48"/>
      <c r="C26" s="48"/>
      <c r="D26" s="48"/>
      <c r="E26" s="48"/>
      <c r="F26" s="48"/>
      <c r="G26" s="48"/>
      <c r="H26" s="48"/>
      <c r="I26" s="48"/>
      <c r="J26" s="48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AN26" t="s">
        <v>225</v>
      </c>
      <c r="AX26" s="35"/>
      <c r="AY26" s="35"/>
      <c r="AZ26" s="35"/>
      <c r="BA26" s="35"/>
      <c r="BB26" s="35"/>
      <c r="BC26" s="35"/>
    </row>
    <row r="27" spans="1:132" x14ac:dyDescent="0.25"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W27" s="102"/>
      <c r="AK27" s="134"/>
      <c r="AM27" s="134"/>
      <c r="AO27" s="134"/>
      <c r="AS27" s="134"/>
      <c r="AU27" s="134"/>
    </row>
    <row r="28" spans="1:132" x14ac:dyDescent="0.25">
      <c r="A28" t="s">
        <v>26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16"/>
      <c r="W28" s="17"/>
      <c r="X28" s="18"/>
      <c r="Y28" s="60"/>
      <c r="Z28" s="18"/>
      <c r="AA28" s="16"/>
      <c r="AB28" s="16"/>
      <c r="AC28" s="16"/>
      <c r="AD28" s="16"/>
      <c r="AE28" s="16"/>
      <c r="AF28" s="16"/>
      <c r="AG28" s="16"/>
    </row>
    <row r="29" spans="1:132" x14ac:dyDescent="0.25">
      <c r="A29" t="s">
        <v>3</v>
      </c>
      <c r="V29" s="16"/>
      <c r="W29" s="16"/>
      <c r="X29" s="23"/>
      <c r="Y29" s="16"/>
      <c r="Z29" s="23"/>
      <c r="AA29" s="16"/>
      <c r="AB29" s="16"/>
      <c r="AC29" s="16"/>
      <c r="AD29" s="16"/>
      <c r="AE29" s="16"/>
      <c r="AF29" s="16"/>
      <c r="AG29" s="16"/>
    </row>
    <row r="30" spans="1:132" x14ac:dyDescent="0.25">
      <c r="A30" t="str">
        <f>"-OR-"</f>
        <v>-OR-</v>
      </c>
      <c r="V30" s="16"/>
      <c r="W30" s="16"/>
      <c r="X30" s="38"/>
      <c r="Y30" s="16"/>
      <c r="Z30" s="38"/>
      <c r="AA30" s="16"/>
      <c r="AB30" s="16"/>
      <c r="AC30" s="16"/>
      <c r="AD30" s="16"/>
      <c r="AE30" s="16"/>
      <c r="AF30" s="16"/>
      <c r="AG30" s="16"/>
    </row>
    <row r="31" spans="1:132" x14ac:dyDescent="0.25">
      <c r="A31" t="s">
        <v>24</v>
      </c>
      <c r="V31" s="16"/>
      <c r="W31" s="16"/>
      <c r="X31" s="16"/>
      <c r="Y31" s="16"/>
      <c r="Z31" s="16"/>
      <c r="AA31" s="60"/>
      <c r="AB31" s="18"/>
      <c r="AC31" s="60"/>
      <c r="AD31" s="18"/>
      <c r="AE31" s="60"/>
      <c r="AF31" s="18"/>
      <c r="AG31" s="16"/>
    </row>
    <row r="32" spans="1:132" x14ac:dyDescent="0.25">
      <c r="A32" t="s">
        <v>25</v>
      </c>
      <c r="V32" s="16"/>
      <c r="W32" s="16"/>
      <c r="X32" s="16"/>
      <c r="Y32" s="16"/>
      <c r="Z32" s="16"/>
      <c r="AA32" s="16"/>
      <c r="AB32" s="23"/>
      <c r="AC32" s="16"/>
      <c r="AD32" s="23"/>
      <c r="AE32" s="16"/>
      <c r="AF32" s="23"/>
      <c r="AG32" s="16"/>
    </row>
    <row r="33" spans="1:33" x14ac:dyDescent="0.25">
      <c r="V33" s="16"/>
      <c r="W33" s="19"/>
      <c r="X33" s="19"/>
      <c r="Y33" s="19"/>
      <c r="Z33" s="19"/>
      <c r="AA33" s="16"/>
      <c r="AB33" s="38"/>
      <c r="AC33" s="16"/>
      <c r="AD33" s="23"/>
      <c r="AE33" s="16"/>
      <c r="AF33" s="23"/>
      <c r="AG33" s="16"/>
    </row>
    <row r="34" spans="1:33" x14ac:dyDescent="0.25">
      <c r="A34" t="s">
        <v>23</v>
      </c>
      <c r="V34" s="16"/>
      <c r="W34" s="21"/>
      <c r="X34" s="73"/>
      <c r="Y34" s="21"/>
      <c r="Z34" s="73"/>
      <c r="AA34" s="16"/>
      <c r="AB34" s="16"/>
      <c r="AC34" s="16"/>
      <c r="AD34" s="16"/>
      <c r="AE34" s="16"/>
      <c r="AF34" s="16"/>
      <c r="AG34" s="16"/>
    </row>
    <row r="35" spans="1:33" x14ac:dyDescent="0.25">
      <c r="A35" t="s">
        <v>18</v>
      </c>
      <c r="V35" s="16"/>
      <c r="W35" s="22"/>
      <c r="X35" s="22"/>
      <c r="Y35" s="22"/>
      <c r="Z35" s="22"/>
      <c r="AA35" s="16"/>
      <c r="AB35" s="16"/>
      <c r="AC35" s="16"/>
      <c r="AD35" s="16"/>
      <c r="AE35" s="16"/>
      <c r="AF35" s="16"/>
      <c r="AG35" s="16"/>
    </row>
    <row r="36" spans="1:33" x14ac:dyDescent="0.25">
      <c r="V36" s="16"/>
      <c r="W36" s="38"/>
      <c r="X36" s="23"/>
      <c r="Y36" s="38"/>
      <c r="Z36" s="38"/>
      <c r="AA36" s="19"/>
      <c r="AB36" s="16"/>
      <c r="AC36" s="19"/>
      <c r="AD36" s="16"/>
      <c r="AE36" s="19"/>
      <c r="AF36" s="16"/>
      <c r="AG36" s="16"/>
    </row>
    <row r="37" spans="1:33" x14ac:dyDescent="0.25">
      <c r="A37" t="s">
        <v>19</v>
      </c>
      <c r="V37" s="16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6"/>
    </row>
    <row r="38" spans="1:33" x14ac:dyDescent="0.25">
      <c r="A38" t="s">
        <v>3</v>
      </c>
      <c r="V38" s="16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16"/>
    </row>
    <row r="39" spans="1:33" x14ac:dyDescent="0.25">
      <c r="V39" s="16"/>
      <c r="W39" s="45"/>
      <c r="X39" s="23"/>
      <c r="Y39" s="45"/>
      <c r="Z39" s="38"/>
      <c r="AA39" s="45"/>
      <c r="AB39" s="38"/>
      <c r="AC39" s="38"/>
      <c r="AD39" s="38"/>
      <c r="AE39" s="38"/>
      <c r="AF39" s="38"/>
      <c r="AG39" s="16"/>
    </row>
    <row r="40" spans="1:33" x14ac:dyDescent="0.25">
      <c r="A40" t="s">
        <v>14</v>
      </c>
      <c r="V40" s="16"/>
      <c r="W40" s="38"/>
      <c r="X40" s="16"/>
      <c r="Y40" s="38"/>
      <c r="Z40" s="16"/>
      <c r="AA40" s="38"/>
      <c r="AB40" s="16"/>
      <c r="AC40" s="135"/>
      <c r="AD40" s="16"/>
      <c r="AE40" s="135"/>
      <c r="AF40" s="16"/>
      <c r="AG40" s="16"/>
    </row>
    <row r="41" spans="1:33" x14ac:dyDescent="0.25">
      <c r="A41" t="s">
        <v>4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V42" s="16"/>
      <c r="W42" s="17"/>
      <c r="X42" s="18"/>
      <c r="Y42" s="60"/>
      <c r="Z42" s="18"/>
      <c r="AA42" s="60"/>
      <c r="AB42" s="18"/>
      <c r="AC42" s="60"/>
      <c r="AD42" s="18"/>
      <c r="AE42" s="60"/>
      <c r="AF42" s="18"/>
      <c r="AG42" s="16"/>
    </row>
    <row r="43" spans="1:33" x14ac:dyDescent="0.25">
      <c r="A43" t="s">
        <v>27</v>
      </c>
      <c r="V43" s="16"/>
      <c r="W43" s="16"/>
      <c r="X43" s="23"/>
      <c r="Y43" s="16"/>
      <c r="Z43" s="23"/>
      <c r="AA43" s="16"/>
      <c r="AB43" s="23"/>
      <c r="AC43" s="16"/>
      <c r="AD43" s="23"/>
      <c r="AE43" s="16"/>
      <c r="AF43" s="23"/>
      <c r="AG43" s="16"/>
    </row>
    <row r="44" spans="1:33" x14ac:dyDescent="0.25">
      <c r="A44" t="s">
        <v>28</v>
      </c>
      <c r="V44" s="16"/>
      <c r="W44" s="16"/>
      <c r="X44" s="38"/>
      <c r="Y44" s="16"/>
      <c r="Z44" s="38"/>
      <c r="AA44" s="16"/>
      <c r="AB44" s="38"/>
      <c r="AC44" s="16"/>
      <c r="AD44" s="23"/>
      <c r="AE44" s="16"/>
      <c r="AF44" s="38"/>
      <c r="AG44" s="16"/>
    </row>
    <row r="45" spans="1:33" x14ac:dyDescent="0.25">
      <c r="A45" t="s">
        <v>29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9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9"/>
      <c r="W47" s="19"/>
      <c r="X47" s="16"/>
      <c r="Y47" s="19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V48" s="16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6"/>
    </row>
    <row r="49" spans="22:33" x14ac:dyDescent="0.25">
      <c r="V49" s="16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16"/>
    </row>
    <row r="50" spans="22:33" x14ac:dyDescent="0.25"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Cover</vt:lpstr>
      <vt:lpstr>LC&amp;EC50 Values</vt:lpstr>
      <vt:lpstr>LC50 Comparison Report CAF</vt:lpstr>
      <vt:lpstr>Report MS13 0.2 18C</vt:lpstr>
      <vt:lpstr>Data analysis MS13 0.2 18C</vt:lpstr>
      <vt:lpstr>Report MS13 0.2 23C  </vt:lpstr>
      <vt:lpstr>Data analysis MS13 0.2 23C  </vt:lpstr>
      <vt:lpstr>Report MS13 0.2 28C </vt:lpstr>
      <vt:lpstr>Data analysis MS13 0.2 28C  </vt:lpstr>
      <vt:lpstr>Report MS13 1.0 18C</vt:lpstr>
      <vt:lpstr>Data Analysis MS13 1.0 18C</vt:lpstr>
      <vt:lpstr>Report MS13 1.0 23C</vt:lpstr>
      <vt:lpstr>Data Analysis MS13 1.0 23C</vt:lpstr>
      <vt:lpstr>Report MS13 1.0 28C</vt:lpstr>
      <vt:lpstr>Data Analysis MS13 1.0 28C </vt:lpstr>
      <vt:lpstr>Report MS13 6.0 18C </vt:lpstr>
      <vt:lpstr>Data analysis MS13 6.0 18C</vt:lpstr>
      <vt:lpstr>Report MS13 6.0 23C </vt:lpstr>
      <vt:lpstr>Data Analysis MS13 6.0 23C</vt:lpstr>
      <vt:lpstr>Report MS13 6.0 28C  </vt:lpstr>
      <vt:lpstr>Data analysis MS13 6.0 28C </vt:lpstr>
      <vt:lpstr>Report ESC 0.2 18C</vt:lpstr>
      <vt:lpstr>Data Analysis ESC 0.2 18C</vt:lpstr>
      <vt:lpstr>Report ESC 0.2 23C </vt:lpstr>
      <vt:lpstr>Data Analysis ESC 0.2 23C</vt:lpstr>
      <vt:lpstr>Report ESC 0.2 28C </vt:lpstr>
      <vt:lpstr>Data Analysis ESC 0.2 28C </vt:lpstr>
      <vt:lpstr>Report ESC 1.0 18C</vt:lpstr>
      <vt:lpstr>Data Analysis ESC 1.0 18C </vt:lpstr>
      <vt:lpstr>Report ESC 1.0 23C</vt:lpstr>
      <vt:lpstr>Data Analysis ESC 1.0 23C </vt:lpstr>
      <vt:lpstr>Report ESC 1.0 28C</vt:lpstr>
      <vt:lpstr>Data Analysis ESC 1.0 28C  </vt:lpstr>
      <vt:lpstr>Report ESC 6.0 18C</vt:lpstr>
      <vt:lpstr>Data Analysis ESC 6.0 18C</vt:lpstr>
      <vt:lpstr>Report ESC 6.0 23C</vt:lpstr>
      <vt:lpstr>Data Analysis ESC 6.0 23 </vt:lpstr>
      <vt:lpstr>Report ESC 6.0 28C</vt:lpstr>
      <vt:lpstr>Data Analysis ESC 6.0 28C</vt:lpstr>
      <vt:lpstr>Report NR 6.0 18C</vt:lpstr>
      <vt:lpstr>Data Analysis NR 6.0 18C</vt:lpstr>
      <vt:lpstr>Report NR 6.0 23C</vt:lpstr>
      <vt:lpstr>Data Analysis NR 6.0 23C</vt:lpstr>
      <vt:lpstr>Report NR 6.0 28C</vt:lpstr>
      <vt:lpstr>Data Analysis NR 6.0 28C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2021-06-28T17:11:51Z</dcterms:created>
  <dcterms:modified xsi:type="dcterms:W3CDTF">2021-06-28T21:48:36Z</dcterms:modified>
</cp:coreProperties>
</file>