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6.xml" ContentType="application/vnd.openxmlformats-officedocument.drawing+xml"/>
  <Override PartName="/xl/charts/chart21.xml" ContentType="application/vnd.openxmlformats-officedocument.drawingml.chart+xml"/>
  <Override PartName="/xl/drawings/drawing1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drawings/drawing22.xml" ContentType="application/vnd.openxmlformats-officedocument.drawing+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drawings/drawing24.xml" ContentType="application/vnd.openxmlformats-officedocument.drawing+xml"/>
  <Override PartName="/xl/charts/chart31.xml" ContentType="application/vnd.openxmlformats-officedocument.drawingml.chart+xml"/>
  <Override PartName="/xl/drawings/drawing25.xml" ContentType="application/vnd.openxmlformats-officedocument.drawing+xml"/>
  <Override PartName="/xl/charts/chart32.xml" ContentType="application/vnd.openxmlformats-officedocument.drawingml.chart+xml"/>
  <Override PartName="/xl/drawings/drawing26.xml" ContentType="application/vnd.openxmlformats-officedocument.drawing+xml"/>
  <Override PartName="/xl/charts/chart33.xml" ContentType="application/vnd.openxmlformats-officedocument.drawingml.chart+xml"/>
  <Override PartName="/xl/drawings/drawing27.xml" ContentType="application/vnd.openxmlformats-officedocument.drawing+xml"/>
  <Override PartName="/xl/charts/chart34.xml" ContentType="application/vnd.openxmlformats-officedocument.drawingml.chart+xml"/>
  <Override PartName="/xl/drawings/drawing28.xml" ContentType="application/vnd.openxmlformats-officedocument.drawing+xml"/>
  <Override PartName="/xl/charts/chart35.xml" ContentType="application/vnd.openxmlformats-officedocument.drawingml.chart+xml"/>
  <Override PartName="/xl/drawings/drawing29.xml" ContentType="application/vnd.openxmlformats-officedocument.drawing+xml"/>
  <Override PartName="/xl/charts/chart36.xml" ContentType="application/vnd.openxmlformats-officedocument.drawingml.chart+xml"/>
  <Override PartName="/xl/drawings/drawing30.xml" ContentType="application/vnd.openxmlformats-officedocument.drawing+xml"/>
  <Override PartName="/xl/charts/chart37.xml" ContentType="application/vnd.openxmlformats-officedocument.drawingml.chart+xml"/>
  <Override PartName="/xl/drawings/drawing31.xml" ContentType="application/vnd.openxmlformats-officedocument.drawing+xml"/>
  <Override PartName="/xl/charts/chart38.xml" ContentType="application/vnd.openxmlformats-officedocument.drawingml.chart+xml"/>
  <Override PartName="/xl/drawings/drawing32.xml" ContentType="application/vnd.openxmlformats-officedocument.drawing+xml"/>
  <Override PartName="/xl/charts/chart39.xml" ContentType="application/vnd.openxmlformats-officedocument.drawingml.chart+xml"/>
  <Override PartName="/xl/drawings/drawing33.xml" ContentType="application/vnd.openxmlformats-officedocument.drawing+xml"/>
  <Override PartName="/xl/charts/chart40.xml" ContentType="application/vnd.openxmlformats-officedocument.drawingml.chart+xml"/>
  <Override PartName="/xl/drawings/drawing34.xml" ContentType="application/vnd.openxmlformats-officedocument.drawing+xml"/>
  <Override PartName="/xl/charts/chart41.xml" ContentType="application/vnd.openxmlformats-officedocument.drawingml.chart+xml"/>
  <Override PartName="/xl/drawings/drawing35.xml" ContentType="application/vnd.openxmlformats-officedocument.drawing+xml"/>
  <Override PartName="/xl/charts/chart42.xml" ContentType="application/vnd.openxmlformats-officedocument.drawingml.chart+xml"/>
  <Override PartName="/xl/drawings/drawing36.xml" ContentType="application/vnd.openxmlformats-officedocument.drawing+xml"/>
  <Override PartName="/xl/charts/chart43.xml" ContentType="application/vnd.openxmlformats-officedocument.drawingml.chart+xml"/>
  <Override PartName="/xl/drawings/drawing37.xml" ContentType="application/vnd.openxmlformats-officedocument.drawing+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filterPrivacy="1" showInkAnnotation="0" autoCompressPictures="0"/>
  <xr:revisionPtr revIDLastSave="0" documentId="13_ncr:1_{442F6F14-0D98-4EB4-AE2A-387E13D800DD}" xr6:coauthVersionLast="36" xr6:coauthVersionMax="36" xr10:uidLastSave="{00000000-0000-0000-0000-000000000000}"/>
  <bookViews>
    <workbookView xWindow="0" yWindow="0" windowWidth="28800" windowHeight="11925" tabRatio="500" xr2:uid="{00000000-000D-0000-FFFF-FFFF00000000}"/>
  </bookViews>
  <sheets>
    <sheet name="Descriptions" sheetId="56" r:id="rId1"/>
    <sheet name="Toxicokinetic Parameter Summary" sheetId="55" r:id="rId2"/>
    <sheet name="Mosher Masses 0.2 18" sheetId="4" r:id="rId3"/>
    <sheet name="Mosher TotalsMetabolites 0.2 18" sheetId="5" r:id="rId4"/>
    <sheet name="Mosher Water Samples 0.2 18" sheetId="6" r:id="rId5"/>
    <sheet name="Mosher Masses 1.0 18" sheetId="10" r:id="rId6"/>
    <sheet name="Mosher TotalsMetabolites 1.0 18" sheetId="11" r:id="rId7"/>
    <sheet name="Mosher Water Samples 1.0 18" sheetId="12" r:id="rId8"/>
    <sheet name="Mosher Masses 6.0 18" sheetId="19" r:id="rId9"/>
    <sheet name="Mosher TotalsMetabolites 6.0 18" sheetId="20" r:id="rId10"/>
    <sheet name="Mosher Water Samples 6.0 18" sheetId="21" r:id="rId11"/>
    <sheet name="Mosher Masses 0.2 23" sheetId="1" r:id="rId12"/>
    <sheet name="Mosher TotalsMetabolites 0.2 23" sheetId="2" r:id="rId13"/>
    <sheet name="Mosher Water Samples 0.2 23" sheetId="3" r:id="rId14"/>
    <sheet name="Mosher Masses 1.0 23" sheetId="13" r:id="rId15"/>
    <sheet name="Mosher TotalsMetabolites 1.0 23" sheetId="14" r:id="rId16"/>
    <sheet name="Mosher Water Samples 1.0 23" sheetId="15" r:id="rId17"/>
    <sheet name="Mosher Masses 6.0 23" sheetId="22" r:id="rId18"/>
    <sheet name="Mosher TotalsMetabolites 6.0 23" sheetId="23" r:id="rId19"/>
    <sheet name="Mosher Water Samples 6.0 23" sheetId="24" r:id="rId20"/>
    <sheet name="Mosher Masses 0.2 28" sheetId="7" r:id="rId21"/>
    <sheet name="Mosher TotalsMetabolites 0.2 28" sheetId="8" r:id="rId22"/>
    <sheet name="Mosher  Water Samples 0.2 28" sheetId="9" r:id="rId23"/>
    <sheet name="Mosher Masses 1.0 28" sheetId="16" r:id="rId24"/>
    <sheet name="Mosher TotalsMetabolites 1.0 28" sheetId="17" r:id="rId25"/>
    <sheet name="Mosher Water Samples 1.0 28" sheetId="18" r:id="rId26"/>
    <sheet name="Mosher Masses 6.0 28" sheetId="25" r:id="rId27"/>
    <sheet name="Mosher TotalsMetabolites 6.0 28" sheetId="26" r:id="rId28"/>
    <sheet name="Mosher Water Samples 6.0 28" sheetId="27" r:id="rId29"/>
    <sheet name="Esc Masses 0.2 18" sheetId="28" r:id="rId30"/>
    <sheet name="Esc TotalsMetabolites 0.2 18" sheetId="29" r:id="rId31"/>
    <sheet name="Esc Water Samples 0.2 18" sheetId="30" r:id="rId32"/>
    <sheet name="Esc Masses 1.0 18" sheetId="31" r:id="rId33"/>
    <sheet name="Esc TotalsMetabolites 1.0 18" sheetId="32" r:id="rId34"/>
    <sheet name="Esc Water Samples 1.0 18" sheetId="33" r:id="rId35"/>
    <sheet name="Esc Masses 6.0 18" sheetId="34" r:id="rId36"/>
    <sheet name="Esc TotalsMetabolites 6.0 18" sheetId="35" r:id="rId37"/>
    <sheet name="Esc Water Samples 6.0 18" sheetId="36" r:id="rId38"/>
    <sheet name="Esc Masses 0.2 23" sheetId="37" r:id="rId39"/>
    <sheet name="Esc TotalsMetabolites 0.2 23" sheetId="38" r:id="rId40"/>
    <sheet name="Esc Water Samples 0.2 23" sheetId="39" r:id="rId41"/>
    <sheet name="Esc Masses 1.0 23" sheetId="40" r:id="rId42"/>
    <sheet name="Esc TotalsMetabolites 1.0 23" sheetId="41" r:id="rId43"/>
    <sheet name="Esc Water Samples 1.0 23" sheetId="42" r:id="rId44"/>
    <sheet name="Esc Masses 6.0 23" sheetId="43" r:id="rId45"/>
    <sheet name="Esc TotalsMetabolites 6.0 23" sheetId="44" r:id="rId46"/>
    <sheet name="Esc Water Samples 6.0 23" sheetId="45" r:id="rId47"/>
    <sheet name="Esc Masses 0.2 28" sheetId="46" r:id="rId48"/>
    <sheet name="Esc TotalsMetabolites 0.2 28" sheetId="47" r:id="rId49"/>
    <sheet name="Esc Water Samples 0.2 28" sheetId="48" r:id="rId50"/>
    <sheet name="Esc Masses 1.0 28" sheetId="49" r:id="rId51"/>
    <sheet name="Esc TotalsMetabolites 1.0 28" sheetId="50" r:id="rId52"/>
    <sheet name="Esc Water Samples 1.0 28" sheetId="51" r:id="rId53"/>
    <sheet name="Esc Masses 6.0 28" sheetId="52" r:id="rId54"/>
    <sheet name="Esc TotalsMetabolites 6.0 28" sheetId="53" r:id="rId55"/>
    <sheet name="Esc Water Samples 6.0 28" sheetId="54" r:id="rId5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6" l="1"/>
  <c r="C31" i="54" l="1"/>
  <c r="D31" i="54" s="1"/>
  <c r="E31" i="54" s="1"/>
  <c r="C30" i="54"/>
  <c r="D30" i="54" s="1"/>
  <c r="E30" i="54" s="1"/>
  <c r="C29" i="54"/>
  <c r="D29" i="54" s="1"/>
  <c r="E29" i="54" s="1"/>
  <c r="F29" i="54" s="1"/>
  <c r="C28" i="54"/>
  <c r="D28" i="54" s="1"/>
  <c r="E28" i="54" s="1"/>
  <c r="H28" i="54" s="1"/>
  <c r="C27" i="54"/>
  <c r="D27" i="54" s="1"/>
  <c r="E27" i="54" s="1"/>
  <c r="H27" i="54" s="1"/>
  <c r="C26" i="54"/>
  <c r="D26" i="54" s="1"/>
  <c r="E26" i="54" s="1"/>
  <c r="C25" i="54"/>
  <c r="D25" i="54" s="1"/>
  <c r="E25" i="54" s="1"/>
  <c r="H25" i="54" s="1"/>
  <c r="C24" i="54"/>
  <c r="D24" i="54" s="1"/>
  <c r="E24" i="54" s="1"/>
  <c r="H24" i="54" s="1"/>
  <c r="E23" i="54"/>
  <c r="H23" i="54" s="1"/>
  <c r="D23" i="54"/>
  <c r="C23" i="54"/>
  <c r="E22" i="54"/>
  <c r="H22" i="54" s="1"/>
  <c r="D22" i="54"/>
  <c r="C22" i="54"/>
  <c r="E21" i="54"/>
  <c r="H21" i="54" s="1"/>
  <c r="D21" i="54"/>
  <c r="C21" i="54"/>
  <c r="C20" i="54"/>
  <c r="D20" i="54" s="1"/>
  <c r="E20" i="54" s="1"/>
  <c r="C19" i="54"/>
  <c r="D19" i="54" s="1"/>
  <c r="E19" i="54" s="1"/>
  <c r="H19" i="54" s="1"/>
  <c r="C18" i="54"/>
  <c r="D18" i="54" s="1"/>
  <c r="E18" i="54" s="1"/>
  <c r="H18" i="54" s="1"/>
  <c r="E17" i="54"/>
  <c r="H17" i="54" s="1"/>
  <c r="D17" i="54"/>
  <c r="C17" i="54"/>
  <c r="E16" i="54"/>
  <c r="H16" i="54" s="1"/>
  <c r="D16" i="54"/>
  <c r="C16" i="54"/>
  <c r="E15" i="54"/>
  <c r="H15" i="54" s="1"/>
  <c r="D15" i="54"/>
  <c r="C15" i="54"/>
  <c r="C14" i="54"/>
  <c r="D14" i="54" s="1"/>
  <c r="E14" i="54" s="1"/>
  <c r="C13" i="54"/>
  <c r="D13" i="54" s="1"/>
  <c r="E13" i="54" s="1"/>
  <c r="H13" i="54" s="1"/>
  <c r="C12" i="54"/>
  <c r="D12" i="54" s="1"/>
  <c r="E12" i="54" s="1"/>
  <c r="H12" i="54" s="1"/>
  <c r="E11" i="54"/>
  <c r="D11" i="54"/>
  <c r="C11" i="54"/>
  <c r="D10" i="54"/>
  <c r="E10" i="54" s="1"/>
  <c r="C10" i="54"/>
  <c r="C9" i="54"/>
  <c r="D9" i="54" s="1"/>
  <c r="E9" i="54" s="1"/>
  <c r="C8" i="54"/>
  <c r="D8" i="54" s="1"/>
  <c r="E8" i="54" s="1"/>
  <c r="E7" i="54"/>
  <c r="D7" i="54"/>
  <c r="C7" i="54"/>
  <c r="D6" i="54"/>
  <c r="E6" i="54" s="1"/>
  <c r="C6" i="54"/>
  <c r="C5" i="54"/>
  <c r="D5" i="54" s="1"/>
  <c r="E5" i="54" s="1"/>
  <c r="D4" i="54"/>
  <c r="C4" i="54"/>
  <c r="N52" i="53"/>
  <c r="O52" i="53" s="1"/>
  <c r="O51" i="53"/>
  <c r="N51" i="53"/>
  <c r="N50" i="53"/>
  <c r="O50" i="53" s="1"/>
  <c r="O49" i="53"/>
  <c r="N49" i="53"/>
  <c r="N48" i="53"/>
  <c r="O48" i="53" s="1"/>
  <c r="O47" i="53"/>
  <c r="N47" i="53"/>
  <c r="N46" i="53"/>
  <c r="O46" i="53" s="1"/>
  <c r="O45" i="53"/>
  <c r="N45" i="53"/>
  <c r="N44" i="53"/>
  <c r="O44" i="53" s="1"/>
  <c r="O43" i="53"/>
  <c r="N43" i="53"/>
  <c r="N42" i="53"/>
  <c r="O42" i="53" s="1"/>
  <c r="O41" i="53"/>
  <c r="N41" i="53"/>
  <c r="N40" i="53"/>
  <c r="O40" i="53" s="1"/>
  <c r="O39" i="53"/>
  <c r="N39" i="53"/>
  <c r="N38" i="53"/>
  <c r="O38" i="53" s="1"/>
  <c r="G38" i="53"/>
  <c r="N37" i="53"/>
  <c r="O37" i="53" s="1"/>
  <c r="G37" i="53"/>
  <c r="O36" i="53"/>
  <c r="N36" i="53"/>
  <c r="G36" i="53"/>
  <c r="O35" i="53"/>
  <c r="N35" i="53"/>
  <c r="G35" i="53"/>
  <c r="G34" i="53"/>
  <c r="G33" i="53"/>
  <c r="G32" i="53"/>
  <c r="D26" i="53"/>
  <c r="D25" i="53"/>
  <c r="D24" i="53"/>
  <c r="D23" i="53"/>
  <c r="D22" i="53"/>
  <c r="D21" i="53"/>
  <c r="D20" i="53"/>
  <c r="D19" i="53"/>
  <c r="D18" i="53"/>
  <c r="D17" i="53"/>
  <c r="D16" i="53"/>
  <c r="D15" i="53"/>
  <c r="D14" i="53"/>
  <c r="D13" i="53"/>
  <c r="D12" i="53"/>
  <c r="D11" i="53"/>
  <c r="D10" i="53"/>
  <c r="D9" i="53"/>
  <c r="D8" i="53"/>
  <c r="D7" i="53"/>
  <c r="D6" i="53"/>
  <c r="D24" i="52"/>
  <c r="F24" i="52" s="1"/>
  <c r="F23" i="52"/>
  <c r="D23" i="52"/>
  <c r="C25" i="53" s="1"/>
  <c r="D22" i="52"/>
  <c r="C24" i="53" s="1"/>
  <c r="F21" i="52"/>
  <c r="D21" i="52"/>
  <c r="C23" i="53" s="1"/>
  <c r="D20" i="52"/>
  <c r="C22" i="53" s="1"/>
  <c r="F19" i="52"/>
  <c r="D19" i="52"/>
  <c r="C21" i="53" s="1"/>
  <c r="D18" i="52"/>
  <c r="F18" i="52" s="1"/>
  <c r="F17" i="52"/>
  <c r="D17" i="52"/>
  <c r="C19" i="53" s="1"/>
  <c r="D16" i="52"/>
  <c r="C18" i="53" s="1"/>
  <c r="F15" i="52"/>
  <c r="D15" i="52"/>
  <c r="C17" i="53" s="1"/>
  <c r="D14" i="52"/>
  <c r="C16" i="53" s="1"/>
  <c r="F13" i="52"/>
  <c r="D13" i="52"/>
  <c r="C15" i="53" s="1"/>
  <c r="E15" i="53" s="1"/>
  <c r="F15" i="53" s="1"/>
  <c r="D12" i="52"/>
  <c r="F12" i="52" s="1"/>
  <c r="F11" i="52"/>
  <c r="D11" i="52"/>
  <c r="C13" i="53" s="1"/>
  <c r="D10" i="52"/>
  <c r="C12" i="53" s="1"/>
  <c r="F9" i="52"/>
  <c r="D9" i="52"/>
  <c r="C11" i="53" s="1"/>
  <c r="D8" i="52"/>
  <c r="C10" i="53" s="1"/>
  <c r="F7" i="52"/>
  <c r="D7" i="52"/>
  <c r="C9" i="53" s="1"/>
  <c r="D6" i="52"/>
  <c r="F6" i="52" s="1"/>
  <c r="F5" i="52"/>
  <c r="D5" i="52"/>
  <c r="C7" i="53" s="1"/>
  <c r="D4" i="52"/>
  <c r="C6" i="53" s="1"/>
  <c r="C31" i="51"/>
  <c r="D31" i="51" s="1"/>
  <c r="E31" i="51" s="1"/>
  <c r="E30" i="51"/>
  <c r="D30" i="51"/>
  <c r="C30" i="51"/>
  <c r="E29" i="51"/>
  <c r="F29" i="51" s="1"/>
  <c r="D29" i="51"/>
  <c r="C29" i="51"/>
  <c r="E28" i="51"/>
  <c r="H28" i="51" s="1"/>
  <c r="D28" i="51"/>
  <c r="C28" i="51"/>
  <c r="E27" i="51"/>
  <c r="H27" i="51" s="1"/>
  <c r="D27" i="51"/>
  <c r="C27" i="51"/>
  <c r="C26" i="51"/>
  <c r="D26" i="51" s="1"/>
  <c r="E26" i="51" s="1"/>
  <c r="C25" i="51"/>
  <c r="D25" i="51" s="1"/>
  <c r="E25" i="51" s="1"/>
  <c r="H25" i="51" s="1"/>
  <c r="C24" i="51"/>
  <c r="D24" i="51" s="1"/>
  <c r="E24" i="51" s="1"/>
  <c r="H24" i="51" s="1"/>
  <c r="E23" i="51"/>
  <c r="H23" i="51" s="1"/>
  <c r="D23" i="51"/>
  <c r="C23" i="51"/>
  <c r="E22" i="51"/>
  <c r="H22" i="51" s="1"/>
  <c r="D22" i="51"/>
  <c r="C22" i="51"/>
  <c r="E21" i="51"/>
  <c r="H21" i="51" s="1"/>
  <c r="D21" i="51"/>
  <c r="C21" i="51"/>
  <c r="C20" i="51"/>
  <c r="D20" i="51" s="1"/>
  <c r="E20" i="51" s="1"/>
  <c r="C19" i="51"/>
  <c r="D19" i="51" s="1"/>
  <c r="E19" i="51" s="1"/>
  <c r="H19" i="51" s="1"/>
  <c r="C18" i="51"/>
  <c r="D18" i="51" s="1"/>
  <c r="E18" i="51" s="1"/>
  <c r="H18" i="51" s="1"/>
  <c r="E17" i="51"/>
  <c r="D17" i="51"/>
  <c r="C17" i="51"/>
  <c r="E16" i="51"/>
  <c r="H16" i="51" s="1"/>
  <c r="D16" i="51"/>
  <c r="C16" i="51"/>
  <c r="E15" i="51"/>
  <c r="D15" i="51"/>
  <c r="C15" i="51"/>
  <c r="C14" i="51"/>
  <c r="D14" i="51" s="1"/>
  <c r="E14" i="51" s="1"/>
  <c r="H14" i="51" s="1"/>
  <c r="C13" i="51"/>
  <c r="D13" i="51" s="1"/>
  <c r="E13" i="51" s="1"/>
  <c r="H13" i="51" s="1"/>
  <c r="H12" i="51"/>
  <c r="C12" i="51"/>
  <c r="D12" i="51" s="1"/>
  <c r="E12" i="51" s="1"/>
  <c r="D11" i="51"/>
  <c r="E11" i="51" s="1"/>
  <c r="C11" i="51"/>
  <c r="C10" i="51"/>
  <c r="D10" i="51" s="1"/>
  <c r="E10" i="51" s="1"/>
  <c r="C9" i="51"/>
  <c r="D9" i="51" s="1"/>
  <c r="E9" i="51" s="1"/>
  <c r="E8" i="51"/>
  <c r="C8" i="51"/>
  <c r="D8" i="51" s="1"/>
  <c r="D7" i="51"/>
  <c r="E7" i="51" s="1"/>
  <c r="C7" i="51"/>
  <c r="C6" i="51"/>
  <c r="D6" i="51" s="1"/>
  <c r="E6" i="51" s="1"/>
  <c r="C5" i="51"/>
  <c r="D5" i="51" s="1"/>
  <c r="E5" i="51" s="1"/>
  <c r="D4" i="51"/>
  <c r="C4" i="51"/>
  <c r="N52" i="50"/>
  <c r="O52" i="50" s="1"/>
  <c r="O51" i="50"/>
  <c r="N51" i="50"/>
  <c r="N50" i="50"/>
  <c r="O50" i="50" s="1"/>
  <c r="O49" i="50"/>
  <c r="N49" i="50"/>
  <c r="N48" i="50"/>
  <c r="O48" i="50" s="1"/>
  <c r="O47" i="50"/>
  <c r="N47" i="50"/>
  <c r="N46" i="50"/>
  <c r="O46" i="50" s="1"/>
  <c r="O45" i="50"/>
  <c r="N45" i="50"/>
  <c r="N44" i="50"/>
  <c r="O44" i="50" s="1"/>
  <c r="O43" i="50"/>
  <c r="N43" i="50"/>
  <c r="N42" i="50"/>
  <c r="O42" i="50" s="1"/>
  <c r="O41" i="50"/>
  <c r="N41" i="50"/>
  <c r="N40" i="50"/>
  <c r="O40" i="50" s="1"/>
  <c r="O39" i="50"/>
  <c r="N39" i="50"/>
  <c r="N38" i="50"/>
  <c r="O38" i="50" s="1"/>
  <c r="G38" i="50"/>
  <c r="O37" i="50"/>
  <c r="N37" i="50"/>
  <c r="G37" i="50"/>
  <c r="O36" i="50"/>
  <c r="N36" i="50"/>
  <c r="G36" i="50"/>
  <c r="N35" i="50"/>
  <c r="O35" i="50" s="1"/>
  <c r="G35" i="50"/>
  <c r="G34" i="50"/>
  <c r="G33" i="50"/>
  <c r="G32" i="50"/>
  <c r="D26" i="50"/>
  <c r="D25" i="50"/>
  <c r="C25" i="50"/>
  <c r="D24" i="50"/>
  <c r="C24" i="50"/>
  <c r="D23" i="50"/>
  <c r="D22" i="50"/>
  <c r="C22" i="50"/>
  <c r="D21" i="50"/>
  <c r="C21" i="50"/>
  <c r="D20" i="50"/>
  <c r="D19" i="50"/>
  <c r="D18" i="50"/>
  <c r="C18" i="50"/>
  <c r="D17" i="50"/>
  <c r="D16" i="50"/>
  <c r="C16" i="50"/>
  <c r="D15" i="50"/>
  <c r="D14" i="50"/>
  <c r="D13" i="50"/>
  <c r="C13" i="50"/>
  <c r="D12" i="50"/>
  <c r="C12" i="50"/>
  <c r="D11" i="50"/>
  <c r="D10" i="50"/>
  <c r="C10" i="50"/>
  <c r="D9" i="50"/>
  <c r="D8" i="50"/>
  <c r="D7" i="50"/>
  <c r="D6" i="50"/>
  <c r="C6" i="50"/>
  <c r="F24" i="49"/>
  <c r="D24" i="49"/>
  <c r="C26" i="50" s="1"/>
  <c r="D23" i="49"/>
  <c r="F23" i="49" s="1"/>
  <c r="F22" i="49"/>
  <c r="D22" i="49"/>
  <c r="D21" i="49"/>
  <c r="F20" i="49"/>
  <c r="D20" i="49"/>
  <c r="D19" i="49"/>
  <c r="F19" i="49" s="1"/>
  <c r="F18" i="49"/>
  <c r="D18" i="49"/>
  <c r="C20" i="50" s="1"/>
  <c r="D17" i="49"/>
  <c r="F16" i="49"/>
  <c r="D16" i="49"/>
  <c r="D15" i="49"/>
  <c r="F14" i="49"/>
  <c r="D14" i="49"/>
  <c r="D13" i="49"/>
  <c r="F13" i="49" s="1"/>
  <c r="F12" i="49"/>
  <c r="D12" i="49"/>
  <c r="C14" i="50" s="1"/>
  <c r="D11" i="49"/>
  <c r="F11" i="49" s="1"/>
  <c r="F10" i="49"/>
  <c r="D10" i="49"/>
  <c r="D9" i="49"/>
  <c r="F8" i="49"/>
  <c r="D8" i="49"/>
  <c r="D7" i="49"/>
  <c r="F7" i="49" s="1"/>
  <c r="F6" i="49"/>
  <c r="D6" i="49"/>
  <c r="C8" i="50" s="1"/>
  <c r="D5" i="49"/>
  <c r="F5" i="49" s="1"/>
  <c r="F4" i="49"/>
  <c r="D4" i="49"/>
  <c r="C31" i="48"/>
  <c r="D31" i="48" s="1"/>
  <c r="E31" i="48" s="1"/>
  <c r="E30" i="48"/>
  <c r="D30" i="48"/>
  <c r="C30" i="48"/>
  <c r="E29" i="48"/>
  <c r="D29" i="48"/>
  <c r="C29" i="48"/>
  <c r="E28" i="48"/>
  <c r="H28" i="48" s="1"/>
  <c r="D28" i="48"/>
  <c r="C28" i="48"/>
  <c r="E27" i="48"/>
  <c r="H27" i="48" s="1"/>
  <c r="D27" i="48"/>
  <c r="C27" i="48"/>
  <c r="C26" i="48"/>
  <c r="D26" i="48" s="1"/>
  <c r="E26" i="48" s="1"/>
  <c r="C25" i="48"/>
  <c r="D25" i="48" s="1"/>
  <c r="E25" i="48" s="1"/>
  <c r="H25" i="48" s="1"/>
  <c r="C24" i="48"/>
  <c r="D24" i="48" s="1"/>
  <c r="E24" i="48" s="1"/>
  <c r="H24" i="48" s="1"/>
  <c r="E23" i="48"/>
  <c r="D23" i="48"/>
  <c r="C23" i="48"/>
  <c r="E22" i="48"/>
  <c r="H22" i="48" s="1"/>
  <c r="D22" i="48"/>
  <c r="C22" i="48"/>
  <c r="E21" i="48"/>
  <c r="H21" i="48" s="1"/>
  <c r="D21" i="48"/>
  <c r="C21" i="48"/>
  <c r="C20" i="48"/>
  <c r="D20" i="48" s="1"/>
  <c r="E20" i="48" s="1"/>
  <c r="C19" i="48"/>
  <c r="D19" i="48" s="1"/>
  <c r="E19" i="48" s="1"/>
  <c r="H19" i="48" s="1"/>
  <c r="C18" i="48"/>
  <c r="D18" i="48" s="1"/>
  <c r="E18" i="48" s="1"/>
  <c r="H18" i="48" s="1"/>
  <c r="E17" i="48"/>
  <c r="D17" i="48"/>
  <c r="C17" i="48"/>
  <c r="E16" i="48"/>
  <c r="H16" i="48" s="1"/>
  <c r="D16" i="48"/>
  <c r="C16" i="48"/>
  <c r="E15" i="48"/>
  <c r="H15" i="48" s="1"/>
  <c r="D15" i="48"/>
  <c r="C15" i="48"/>
  <c r="C14" i="48"/>
  <c r="D14" i="48" s="1"/>
  <c r="E14" i="48" s="1"/>
  <c r="C13" i="48"/>
  <c r="D13" i="48" s="1"/>
  <c r="E13" i="48" s="1"/>
  <c r="H13" i="48" s="1"/>
  <c r="C12" i="48"/>
  <c r="D12" i="48" s="1"/>
  <c r="E12" i="48" s="1"/>
  <c r="H12" i="48" s="1"/>
  <c r="E11" i="48"/>
  <c r="D11" i="48"/>
  <c r="C11" i="48"/>
  <c r="D10" i="48"/>
  <c r="E10" i="48" s="1"/>
  <c r="C10" i="48"/>
  <c r="C9" i="48"/>
  <c r="D9" i="48" s="1"/>
  <c r="E9" i="48" s="1"/>
  <c r="C8" i="48"/>
  <c r="D8" i="48" s="1"/>
  <c r="E8" i="48" s="1"/>
  <c r="E7" i="48"/>
  <c r="D7" i="48"/>
  <c r="C7" i="48"/>
  <c r="D6" i="48"/>
  <c r="E6" i="48" s="1"/>
  <c r="C6" i="48"/>
  <c r="C5" i="48"/>
  <c r="D5" i="48" s="1"/>
  <c r="E5" i="48" s="1"/>
  <c r="D4" i="48"/>
  <c r="C4" i="48"/>
  <c r="O52" i="47"/>
  <c r="N52" i="47"/>
  <c r="O51" i="47"/>
  <c r="N51" i="47"/>
  <c r="O50" i="47"/>
  <c r="N50" i="47"/>
  <c r="O49" i="47"/>
  <c r="N49" i="47"/>
  <c r="O48" i="47"/>
  <c r="N48" i="47"/>
  <c r="O47" i="47"/>
  <c r="N47" i="47"/>
  <c r="O46" i="47"/>
  <c r="N46" i="47"/>
  <c r="O45" i="47"/>
  <c r="N45" i="47"/>
  <c r="O44" i="47"/>
  <c r="N44" i="47"/>
  <c r="O43" i="47"/>
  <c r="N43" i="47"/>
  <c r="O42" i="47"/>
  <c r="N42" i="47"/>
  <c r="O41" i="47"/>
  <c r="N41" i="47"/>
  <c r="O40" i="47"/>
  <c r="N40" i="47"/>
  <c r="O39" i="47"/>
  <c r="N39" i="47"/>
  <c r="O38" i="47"/>
  <c r="N38" i="47"/>
  <c r="G38" i="47"/>
  <c r="N37" i="47"/>
  <c r="O37" i="47" s="1"/>
  <c r="G37" i="47"/>
  <c r="O36" i="47"/>
  <c r="N36" i="47"/>
  <c r="G36" i="47"/>
  <c r="O35" i="47"/>
  <c r="N35" i="47"/>
  <c r="G35" i="47"/>
  <c r="G34" i="47"/>
  <c r="G33" i="47"/>
  <c r="G32" i="47"/>
  <c r="D26" i="47"/>
  <c r="D25" i="47"/>
  <c r="D24" i="47"/>
  <c r="D23" i="47"/>
  <c r="C23" i="47"/>
  <c r="D22" i="47"/>
  <c r="D21" i="47"/>
  <c r="D20" i="47"/>
  <c r="C20" i="47"/>
  <c r="D19" i="47"/>
  <c r="D18" i="47"/>
  <c r="D17" i="47"/>
  <c r="C17" i="47"/>
  <c r="D16" i="47"/>
  <c r="D15" i="47"/>
  <c r="D14" i="47"/>
  <c r="D13" i="47"/>
  <c r="D12" i="47"/>
  <c r="D11" i="47"/>
  <c r="C11" i="47"/>
  <c r="D10" i="47"/>
  <c r="D9" i="47"/>
  <c r="D8" i="47"/>
  <c r="C8" i="47"/>
  <c r="D7" i="47"/>
  <c r="D6" i="47"/>
  <c r="D24" i="46"/>
  <c r="F23" i="46"/>
  <c r="D23" i="46"/>
  <c r="C25" i="47" s="1"/>
  <c r="D22" i="46"/>
  <c r="F21" i="46"/>
  <c r="D21" i="46"/>
  <c r="D20" i="46"/>
  <c r="F19" i="46"/>
  <c r="D19" i="46"/>
  <c r="C21" i="47" s="1"/>
  <c r="D18" i="46"/>
  <c r="F18" i="46" s="1"/>
  <c r="F17" i="46"/>
  <c r="D17" i="46"/>
  <c r="C19" i="47" s="1"/>
  <c r="D16" i="46"/>
  <c r="F15" i="46"/>
  <c r="D15" i="46"/>
  <c r="D14" i="46"/>
  <c r="F13" i="46"/>
  <c r="D13" i="46"/>
  <c r="C15" i="47" s="1"/>
  <c r="D12" i="46"/>
  <c r="F12" i="46" s="1"/>
  <c r="F11" i="46"/>
  <c r="D11" i="46"/>
  <c r="C13" i="47" s="1"/>
  <c r="D10" i="46"/>
  <c r="F9" i="46"/>
  <c r="D9" i="46"/>
  <c r="D8" i="46"/>
  <c r="F7" i="46"/>
  <c r="D7" i="46"/>
  <c r="C9" i="47" s="1"/>
  <c r="D6" i="46"/>
  <c r="F6" i="46" s="1"/>
  <c r="F5" i="46"/>
  <c r="D5" i="46"/>
  <c r="C7" i="47" s="1"/>
  <c r="D4" i="46"/>
  <c r="C31" i="45"/>
  <c r="D31" i="45" s="1"/>
  <c r="E31" i="45" s="1"/>
  <c r="E30" i="45"/>
  <c r="D30" i="45"/>
  <c r="C30" i="45"/>
  <c r="E29" i="45"/>
  <c r="F29" i="45" s="1"/>
  <c r="D29" i="45"/>
  <c r="C29" i="45"/>
  <c r="E28" i="45"/>
  <c r="H28" i="45" s="1"/>
  <c r="D28" i="45"/>
  <c r="C28" i="45"/>
  <c r="E27" i="45"/>
  <c r="H27" i="45" s="1"/>
  <c r="D27" i="45"/>
  <c r="C27" i="45"/>
  <c r="D26" i="45"/>
  <c r="E26" i="45" s="1"/>
  <c r="C26" i="45"/>
  <c r="C25" i="45"/>
  <c r="D25" i="45" s="1"/>
  <c r="E25" i="45" s="1"/>
  <c r="H25" i="45" s="1"/>
  <c r="C24" i="45"/>
  <c r="D24" i="45" s="1"/>
  <c r="E24" i="45" s="1"/>
  <c r="H24" i="45" s="1"/>
  <c r="H23" i="45"/>
  <c r="D23" i="45"/>
  <c r="E23" i="45" s="1"/>
  <c r="C23" i="45"/>
  <c r="D22" i="45"/>
  <c r="E22" i="45" s="1"/>
  <c r="H22" i="45" s="1"/>
  <c r="C22" i="45"/>
  <c r="D21" i="45"/>
  <c r="E21" i="45" s="1"/>
  <c r="H21" i="45" s="1"/>
  <c r="C21" i="45"/>
  <c r="D20" i="45"/>
  <c r="E20" i="45" s="1"/>
  <c r="C20" i="45"/>
  <c r="C19" i="45"/>
  <c r="D19" i="45" s="1"/>
  <c r="E19" i="45" s="1"/>
  <c r="H19" i="45" s="1"/>
  <c r="C18" i="45"/>
  <c r="D18" i="45" s="1"/>
  <c r="E18" i="45" s="1"/>
  <c r="H18" i="45" s="1"/>
  <c r="D17" i="45"/>
  <c r="E17" i="45" s="1"/>
  <c r="F17" i="45" s="1"/>
  <c r="G17" i="45" s="1"/>
  <c r="C17" i="45"/>
  <c r="D16" i="45"/>
  <c r="E16" i="45" s="1"/>
  <c r="H16" i="45" s="1"/>
  <c r="C16" i="45"/>
  <c r="D15" i="45"/>
  <c r="E15" i="45" s="1"/>
  <c r="H15" i="45" s="1"/>
  <c r="C15" i="45"/>
  <c r="D14" i="45"/>
  <c r="E14" i="45" s="1"/>
  <c r="C14" i="45"/>
  <c r="C13" i="45"/>
  <c r="D13" i="45" s="1"/>
  <c r="E13" i="45" s="1"/>
  <c r="H13" i="45" s="1"/>
  <c r="C12" i="45"/>
  <c r="D12" i="45" s="1"/>
  <c r="E12" i="45" s="1"/>
  <c r="H12" i="45" s="1"/>
  <c r="D11" i="45"/>
  <c r="E11" i="45" s="1"/>
  <c r="C11" i="45"/>
  <c r="C10" i="45"/>
  <c r="D10" i="45" s="1"/>
  <c r="E10" i="45" s="1"/>
  <c r="D9" i="45"/>
  <c r="E9" i="45" s="1"/>
  <c r="C9" i="45"/>
  <c r="C8" i="45"/>
  <c r="D8" i="45" s="1"/>
  <c r="E8" i="45" s="1"/>
  <c r="E7" i="45"/>
  <c r="D7" i="45"/>
  <c r="C7" i="45"/>
  <c r="D6" i="45"/>
  <c r="E6" i="45" s="1"/>
  <c r="C6" i="45"/>
  <c r="C5" i="45"/>
  <c r="D5" i="45" s="1"/>
  <c r="E5" i="45" s="1"/>
  <c r="D4" i="45"/>
  <c r="C4" i="45"/>
  <c r="N52" i="44"/>
  <c r="O52" i="44" s="1"/>
  <c r="O51" i="44"/>
  <c r="N51" i="44"/>
  <c r="N50" i="44"/>
  <c r="O50" i="44" s="1"/>
  <c r="O49" i="44"/>
  <c r="N49" i="44"/>
  <c r="N48" i="44"/>
  <c r="O48" i="44" s="1"/>
  <c r="O47" i="44"/>
  <c r="N47" i="44"/>
  <c r="N46" i="44"/>
  <c r="O46" i="44" s="1"/>
  <c r="O45" i="44"/>
  <c r="N45" i="44"/>
  <c r="N44" i="44"/>
  <c r="O44" i="44" s="1"/>
  <c r="O43" i="44"/>
  <c r="N43" i="44"/>
  <c r="N42" i="44"/>
  <c r="O42" i="44" s="1"/>
  <c r="O41" i="44"/>
  <c r="N41" i="44"/>
  <c r="N40" i="44"/>
  <c r="O40" i="44" s="1"/>
  <c r="O39" i="44"/>
  <c r="N39" i="44"/>
  <c r="N38" i="44"/>
  <c r="O38" i="44" s="1"/>
  <c r="G38" i="44"/>
  <c r="N37" i="44"/>
  <c r="O37" i="44" s="1"/>
  <c r="G37" i="44"/>
  <c r="O36" i="44"/>
  <c r="N36" i="44"/>
  <c r="G36" i="44"/>
  <c r="N35" i="44"/>
  <c r="O35" i="44" s="1"/>
  <c r="G35" i="44"/>
  <c r="G34" i="44"/>
  <c r="G33" i="44"/>
  <c r="G32" i="44"/>
  <c r="D26" i="44"/>
  <c r="D25" i="44"/>
  <c r="C25" i="44"/>
  <c r="D24" i="44"/>
  <c r="C24" i="44"/>
  <c r="D23" i="44"/>
  <c r="D22" i="44"/>
  <c r="C22" i="44"/>
  <c r="D21" i="44"/>
  <c r="D20" i="44"/>
  <c r="D19" i="44"/>
  <c r="D18" i="44"/>
  <c r="C18" i="44"/>
  <c r="D17" i="44"/>
  <c r="D16" i="44"/>
  <c r="C16" i="44"/>
  <c r="D15" i="44"/>
  <c r="D14" i="44"/>
  <c r="D13" i="44"/>
  <c r="C13" i="44"/>
  <c r="D12" i="44"/>
  <c r="C12" i="44"/>
  <c r="D11" i="44"/>
  <c r="D10" i="44"/>
  <c r="C10" i="44"/>
  <c r="D9" i="44"/>
  <c r="D8" i="44"/>
  <c r="D7" i="44"/>
  <c r="D6" i="44"/>
  <c r="C6" i="44"/>
  <c r="D24" i="43"/>
  <c r="F24" i="43" s="1"/>
  <c r="D23" i="43"/>
  <c r="F23" i="43" s="1"/>
  <c r="D22" i="43"/>
  <c r="F22" i="43" s="1"/>
  <c r="D21" i="43"/>
  <c r="D20" i="43"/>
  <c r="F20" i="43" s="1"/>
  <c r="F19" i="43"/>
  <c r="D19" i="43"/>
  <c r="C21" i="44" s="1"/>
  <c r="D18" i="43"/>
  <c r="F18" i="43" s="1"/>
  <c r="D17" i="43"/>
  <c r="F17" i="43" s="1"/>
  <c r="D16" i="43"/>
  <c r="F16" i="43" s="1"/>
  <c r="F15" i="43"/>
  <c r="D15" i="43"/>
  <c r="C17" i="44" s="1"/>
  <c r="D14" i="43"/>
  <c r="F14" i="43" s="1"/>
  <c r="D13" i="43"/>
  <c r="C15" i="44" s="1"/>
  <c r="E15" i="44" s="1"/>
  <c r="F15" i="44" s="1"/>
  <c r="D12" i="43"/>
  <c r="F12" i="43" s="1"/>
  <c r="F11" i="43"/>
  <c r="D11" i="43"/>
  <c r="D10" i="43"/>
  <c r="F10" i="43" s="1"/>
  <c r="D9" i="43"/>
  <c r="C11" i="44" s="1"/>
  <c r="D8" i="43"/>
  <c r="F8" i="43" s="1"/>
  <c r="F7" i="43"/>
  <c r="D7" i="43"/>
  <c r="C9" i="44" s="1"/>
  <c r="E9" i="44" s="1"/>
  <c r="F9" i="44" s="1"/>
  <c r="D6" i="43"/>
  <c r="F6" i="43" s="1"/>
  <c r="D5" i="43"/>
  <c r="C7" i="44" s="1"/>
  <c r="D4" i="43"/>
  <c r="F4" i="43" s="1"/>
  <c r="C31" i="42"/>
  <c r="D31" i="42" s="1"/>
  <c r="E31" i="42" s="1"/>
  <c r="D30" i="42"/>
  <c r="E30" i="42" s="1"/>
  <c r="C30" i="42"/>
  <c r="E29" i="42"/>
  <c r="D29" i="42"/>
  <c r="C29" i="42"/>
  <c r="D28" i="42"/>
  <c r="E28" i="42" s="1"/>
  <c r="C28" i="42"/>
  <c r="E27" i="42"/>
  <c r="H27" i="42" s="1"/>
  <c r="D27" i="42"/>
  <c r="C27" i="42"/>
  <c r="C26" i="42"/>
  <c r="D26" i="42" s="1"/>
  <c r="E26" i="42" s="1"/>
  <c r="H26" i="42" s="1"/>
  <c r="H25" i="42"/>
  <c r="C25" i="42"/>
  <c r="D25" i="42" s="1"/>
  <c r="E25" i="42" s="1"/>
  <c r="H24" i="42"/>
  <c r="C24" i="42"/>
  <c r="D24" i="42" s="1"/>
  <c r="E24" i="42" s="1"/>
  <c r="D23" i="42"/>
  <c r="E23" i="42" s="1"/>
  <c r="C23" i="42"/>
  <c r="E22" i="42"/>
  <c r="H22" i="42" s="1"/>
  <c r="D22" i="42"/>
  <c r="C22" i="42"/>
  <c r="D21" i="42"/>
  <c r="E21" i="42" s="1"/>
  <c r="H21" i="42" s="1"/>
  <c r="C21" i="42"/>
  <c r="C20" i="42"/>
  <c r="D20" i="42" s="1"/>
  <c r="E20" i="42" s="1"/>
  <c r="H20" i="42" s="1"/>
  <c r="C19" i="42"/>
  <c r="D19" i="42" s="1"/>
  <c r="E19" i="42" s="1"/>
  <c r="H19" i="42" s="1"/>
  <c r="C18" i="42"/>
  <c r="D18" i="42" s="1"/>
  <c r="E18" i="42" s="1"/>
  <c r="H18" i="42" s="1"/>
  <c r="E17" i="42"/>
  <c r="F17" i="42" s="1"/>
  <c r="G17" i="42" s="1"/>
  <c r="D17" i="42"/>
  <c r="C17" i="42"/>
  <c r="D16" i="42"/>
  <c r="E16" i="42" s="1"/>
  <c r="C16" i="42"/>
  <c r="E15" i="42"/>
  <c r="H15" i="42" s="1"/>
  <c r="D15" i="42"/>
  <c r="C15" i="42"/>
  <c r="C14" i="42"/>
  <c r="D14" i="42" s="1"/>
  <c r="E14" i="42" s="1"/>
  <c r="H14" i="42" s="1"/>
  <c r="H13" i="42"/>
  <c r="C13" i="42"/>
  <c r="D13" i="42" s="1"/>
  <c r="E13" i="42" s="1"/>
  <c r="H12" i="42"/>
  <c r="C12" i="42"/>
  <c r="D12" i="42" s="1"/>
  <c r="E12" i="42" s="1"/>
  <c r="D11" i="42"/>
  <c r="E11" i="42" s="1"/>
  <c r="C11" i="42"/>
  <c r="D10" i="42"/>
  <c r="E10" i="42" s="1"/>
  <c r="C10" i="42"/>
  <c r="C9" i="42"/>
  <c r="D9" i="42" s="1"/>
  <c r="E9" i="42" s="1"/>
  <c r="C8" i="42"/>
  <c r="D8" i="42" s="1"/>
  <c r="E8" i="42" s="1"/>
  <c r="D7" i="42"/>
  <c r="E7" i="42" s="1"/>
  <c r="C7" i="42"/>
  <c r="D6" i="42"/>
  <c r="E6" i="42" s="1"/>
  <c r="C6" i="42"/>
  <c r="C5" i="42"/>
  <c r="D5" i="42" s="1"/>
  <c r="E5" i="42" s="1"/>
  <c r="D4" i="42"/>
  <c r="C4" i="42"/>
  <c r="N52" i="41"/>
  <c r="O52" i="41" s="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G38" i="41"/>
  <c r="N37" i="41"/>
  <c r="O37" i="41" s="1"/>
  <c r="G37" i="41"/>
  <c r="O36" i="41"/>
  <c r="N36" i="41"/>
  <c r="G36" i="41"/>
  <c r="N35" i="41"/>
  <c r="O35" i="41" s="1"/>
  <c r="G35" i="41"/>
  <c r="G34" i="41"/>
  <c r="G33" i="41"/>
  <c r="G32" i="41"/>
  <c r="D26" i="41"/>
  <c r="D25" i="41"/>
  <c r="D24" i="41"/>
  <c r="D23" i="41"/>
  <c r="C23" i="41"/>
  <c r="D22" i="41"/>
  <c r="D21" i="41"/>
  <c r="D20" i="41"/>
  <c r="D19" i="41"/>
  <c r="D18" i="41"/>
  <c r="D17" i="41"/>
  <c r="C17" i="41"/>
  <c r="D16" i="41"/>
  <c r="D15" i="41"/>
  <c r="D14" i="41"/>
  <c r="D13" i="41"/>
  <c r="D12" i="41"/>
  <c r="D11" i="41"/>
  <c r="C11" i="41"/>
  <c r="D10" i="41"/>
  <c r="D9" i="41"/>
  <c r="D8" i="41"/>
  <c r="D7" i="41"/>
  <c r="D6" i="41"/>
  <c r="D24" i="40"/>
  <c r="F24" i="40" s="1"/>
  <c r="D23" i="40"/>
  <c r="F23" i="40" s="1"/>
  <c r="D22" i="40"/>
  <c r="C24" i="41" s="1"/>
  <c r="D21" i="40"/>
  <c r="F21" i="40" s="1"/>
  <c r="D20" i="40"/>
  <c r="C22" i="41" s="1"/>
  <c r="D19" i="40"/>
  <c r="F19" i="40" s="1"/>
  <c r="D18" i="40"/>
  <c r="F18" i="40" s="1"/>
  <c r="D17" i="40"/>
  <c r="F17" i="40" s="1"/>
  <c r="D16" i="40"/>
  <c r="C18" i="41" s="1"/>
  <c r="D15" i="40"/>
  <c r="F15" i="40" s="1"/>
  <c r="D14" i="40"/>
  <c r="C16" i="41" s="1"/>
  <c r="D13" i="40"/>
  <c r="F13" i="40" s="1"/>
  <c r="D12" i="40"/>
  <c r="F12" i="40" s="1"/>
  <c r="D11" i="40"/>
  <c r="F11" i="40" s="1"/>
  <c r="D10" i="40"/>
  <c r="C12" i="41" s="1"/>
  <c r="D9" i="40"/>
  <c r="F9" i="40" s="1"/>
  <c r="D8" i="40"/>
  <c r="C10" i="41" s="1"/>
  <c r="D7" i="40"/>
  <c r="F7" i="40" s="1"/>
  <c r="D6" i="40"/>
  <c r="F6" i="40" s="1"/>
  <c r="D5" i="40"/>
  <c r="F5" i="40" s="1"/>
  <c r="D4" i="40"/>
  <c r="C6" i="41" s="1"/>
  <c r="C31" i="39"/>
  <c r="D31" i="39" s="1"/>
  <c r="E31" i="39" s="1"/>
  <c r="F29" i="39" s="1"/>
  <c r="E30" i="39"/>
  <c r="D30" i="39"/>
  <c r="C30" i="39"/>
  <c r="E29" i="39"/>
  <c r="D29" i="39"/>
  <c r="C29" i="39"/>
  <c r="H28" i="39"/>
  <c r="E28" i="39"/>
  <c r="D28" i="39"/>
  <c r="C28" i="39"/>
  <c r="H27" i="39"/>
  <c r="E27" i="39"/>
  <c r="D27" i="39"/>
  <c r="C27" i="39"/>
  <c r="D26" i="39"/>
  <c r="E26" i="39" s="1"/>
  <c r="C26" i="39"/>
  <c r="D25" i="39"/>
  <c r="E25" i="39" s="1"/>
  <c r="H25" i="39" s="1"/>
  <c r="C25" i="39"/>
  <c r="D24" i="39"/>
  <c r="E24" i="39" s="1"/>
  <c r="C24" i="39"/>
  <c r="E23" i="39"/>
  <c r="H23" i="39" s="1"/>
  <c r="D23" i="39"/>
  <c r="C23" i="39"/>
  <c r="H22" i="39"/>
  <c r="E22" i="39"/>
  <c r="D22" i="39"/>
  <c r="C22" i="39"/>
  <c r="H21" i="39"/>
  <c r="E21" i="39"/>
  <c r="D21" i="39"/>
  <c r="C21" i="39"/>
  <c r="D20" i="39"/>
  <c r="E20" i="39" s="1"/>
  <c r="C20" i="39"/>
  <c r="D19" i="39"/>
  <c r="E19" i="39" s="1"/>
  <c r="H19" i="39" s="1"/>
  <c r="C19" i="39"/>
  <c r="D18" i="39"/>
  <c r="E18" i="39" s="1"/>
  <c r="C18" i="39"/>
  <c r="E17" i="39"/>
  <c r="H17" i="39" s="1"/>
  <c r="D17" i="39"/>
  <c r="C17" i="39"/>
  <c r="H16" i="39"/>
  <c r="E16" i="39"/>
  <c r="D16" i="39"/>
  <c r="C16" i="39"/>
  <c r="H15" i="39"/>
  <c r="E15" i="39"/>
  <c r="D15" i="39"/>
  <c r="C15" i="39"/>
  <c r="D14" i="39"/>
  <c r="E14" i="39" s="1"/>
  <c r="C14" i="39"/>
  <c r="D13" i="39"/>
  <c r="E13" i="39" s="1"/>
  <c r="H13" i="39" s="1"/>
  <c r="C13" i="39"/>
  <c r="D12" i="39"/>
  <c r="E12" i="39" s="1"/>
  <c r="C12" i="39"/>
  <c r="E11" i="39"/>
  <c r="D11" i="39"/>
  <c r="C11" i="39"/>
  <c r="E10" i="39"/>
  <c r="D10" i="39"/>
  <c r="C10" i="39"/>
  <c r="D9" i="39"/>
  <c r="E9" i="39" s="1"/>
  <c r="C9" i="39"/>
  <c r="C8" i="39"/>
  <c r="D8" i="39" s="1"/>
  <c r="E8" i="39" s="1"/>
  <c r="E7" i="39"/>
  <c r="D7" i="39"/>
  <c r="C7" i="39"/>
  <c r="E6" i="39"/>
  <c r="D6" i="39"/>
  <c r="C6" i="39"/>
  <c r="D5" i="39"/>
  <c r="E5" i="39" s="1"/>
  <c r="C5" i="39"/>
  <c r="C4" i="39"/>
  <c r="D4" i="39" s="1"/>
  <c r="N52" i="38"/>
  <c r="O52" i="38" s="1"/>
  <c r="N51" i="38"/>
  <c r="O51" i="38" s="1"/>
  <c r="N50" i="38"/>
  <c r="O50" i="38" s="1"/>
  <c r="N49" i="38"/>
  <c r="O49" i="38" s="1"/>
  <c r="N48" i="38"/>
  <c r="O48" i="38" s="1"/>
  <c r="N47" i="38"/>
  <c r="O47" i="38" s="1"/>
  <c r="N46" i="38"/>
  <c r="O46" i="38" s="1"/>
  <c r="N45" i="38"/>
  <c r="O45" i="38" s="1"/>
  <c r="N44" i="38"/>
  <c r="O44" i="38" s="1"/>
  <c r="N43" i="38"/>
  <c r="O43" i="38" s="1"/>
  <c r="N42" i="38"/>
  <c r="O42" i="38" s="1"/>
  <c r="N41" i="38"/>
  <c r="O41" i="38" s="1"/>
  <c r="N40" i="38"/>
  <c r="O40" i="38" s="1"/>
  <c r="N39" i="38"/>
  <c r="O39" i="38" s="1"/>
  <c r="N38" i="38"/>
  <c r="O38" i="38" s="1"/>
  <c r="G38" i="38"/>
  <c r="O37" i="38"/>
  <c r="N37" i="38"/>
  <c r="G37" i="38"/>
  <c r="N36" i="38"/>
  <c r="O36" i="38" s="1"/>
  <c r="G36" i="38"/>
  <c r="O35" i="38"/>
  <c r="N35" i="38"/>
  <c r="G35" i="38"/>
  <c r="G34" i="38"/>
  <c r="G33" i="38"/>
  <c r="G32" i="38"/>
  <c r="D26" i="38"/>
  <c r="D25" i="38"/>
  <c r="D24" i="38"/>
  <c r="D23" i="38"/>
  <c r="D22" i="38"/>
  <c r="D21" i="38"/>
  <c r="D20" i="38"/>
  <c r="D19" i="38"/>
  <c r="D18" i="38"/>
  <c r="D17" i="38"/>
  <c r="D16" i="38"/>
  <c r="D15" i="38"/>
  <c r="D14" i="38"/>
  <c r="D13" i="38"/>
  <c r="D12" i="38"/>
  <c r="D11" i="38"/>
  <c r="D10" i="38"/>
  <c r="D9" i="38"/>
  <c r="D8" i="38"/>
  <c r="D7" i="38"/>
  <c r="D6" i="38"/>
  <c r="F24" i="37"/>
  <c r="D24" i="37"/>
  <c r="C26" i="38" s="1"/>
  <c r="F23" i="37"/>
  <c r="D23" i="37"/>
  <c r="C25" i="38" s="1"/>
  <c r="F22" i="37"/>
  <c r="D22" i="37"/>
  <c r="C24" i="38" s="1"/>
  <c r="F21" i="37"/>
  <c r="D21" i="37"/>
  <c r="C23" i="38" s="1"/>
  <c r="F20" i="37"/>
  <c r="D20" i="37"/>
  <c r="C22" i="38" s="1"/>
  <c r="F19" i="37"/>
  <c r="D19" i="37"/>
  <c r="C21" i="38" s="1"/>
  <c r="E21" i="38" s="1"/>
  <c r="F21" i="38" s="1"/>
  <c r="F18" i="37"/>
  <c r="D18" i="37"/>
  <c r="C20" i="38" s="1"/>
  <c r="F17" i="37"/>
  <c r="D17" i="37"/>
  <c r="C19" i="38" s="1"/>
  <c r="F16" i="37"/>
  <c r="D16" i="37"/>
  <c r="C18" i="38" s="1"/>
  <c r="F15" i="37"/>
  <c r="D15" i="37"/>
  <c r="C17" i="38" s="1"/>
  <c r="F14" i="37"/>
  <c r="D14" i="37"/>
  <c r="C16" i="38" s="1"/>
  <c r="F13" i="37"/>
  <c r="D13" i="37"/>
  <c r="C15" i="38" s="1"/>
  <c r="E15" i="38" s="1"/>
  <c r="F15" i="38" s="1"/>
  <c r="F12" i="37"/>
  <c r="D12" i="37"/>
  <c r="C14" i="38" s="1"/>
  <c r="F11" i="37"/>
  <c r="D11" i="37"/>
  <c r="C13" i="38" s="1"/>
  <c r="F10" i="37"/>
  <c r="D10" i="37"/>
  <c r="C12" i="38" s="1"/>
  <c r="F9" i="37"/>
  <c r="D9" i="37"/>
  <c r="C11" i="38" s="1"/>
  <c r="F8" i="37"/>
  <c r="D8" i="37"/>
  <c r="C10" i="38" s="1"/>
  <c r="F7" i="37"/>
  <c r="D7" i="37"/>
  <c r="C9" i="38" s="1"/>
  <c r="E9" i="38" s="1"/>
  <c r="F9" i="38" s="1"/>
  <c r="F6" i="37"/>
  <c r="D6" i="37"/>
  <c r="C8" i="38" s="1"/>
  <c r="F5" i="37"/>
  <c r="D5" i="37"/>
  <c r="C7" i="38" s="1"/>
  <c r="F4" i="37"/>
  <c r="D4" i="37"/>
  <c r="C6" i="38" s="1"/>
  <c r="D31" i="36"/>
  <c r="E31" i="36" s="1"/>
  <c r="C31" i="36"/>
  <c r="C30" i="36"/>
  <c r="D30" i="36" s="1"/>
  <c r="E30" i="36" s="1"/>
  <c r="C29" i="36"/>
  <c r="D29" i="36" s="1"/>
  <c r="E29" i="36" s="1"/>
  <c r="C28" i="36"/>
  <c r="D28" i="36" s="1"/>
  <c r="E28" i="36" s="1"/>
  <c r="H28" i="36" s="1"/>
  <c r="C27" i="36"/>
  <c r="D27" i="36" s="1"/>
  <c r="E27" i="36" s="1"/>
  <c r="H27" i="36" s="1"/>
  <c r="C26" i="36"/>
  <c r="D26" i="36" s="1"/>
  <c r="E26" i="36" s="1"/>
  <c r="C25" i="36"/>
  <c r="D25" i="36" s="1"/>
  <c r="E25" i="36" s="1"/>
  <c r="H25" i="36" s="1"/>
  <c r="C24" i="36"/>
  <c r="D24" i="36" s="1"/>
  <c r="E24" i="36" s="1"/>
  <c r="H24" i="36" s="1"/>
  <c r="C23" i="36"/>
  <c r="D23" i="36" s="1"/>
  <c r="E23" i="36" s="1"/>
  <c r="C22" i="36"/>
  <c r="D22" i="36" s="1"/>
  <c r="E22" i="36" s="1"/>
  <c r="H22" i="36" s="1"/>
  <c r="C21" i="36"/>
  <c r="D21" i="36" s="1"/>
  <c r="E21" i="36" s="1"/>
  <c r="H21" i="36" s="1"/>
  <c r="C20" i="36"/>
  <c r="D20" i="36" s="1"/>
  <c r="E20" i="36" s="1"/>
  <c r="C19" i="36"/>
  <c r="D19" i="36" s="1"/>
  <c r="E19" i="36" s="1"/>
  <c r="H19" i="36" s="1"/>
  <c r="C18" i="36"/>
  <c r="D18" i="36" s="1"/>
  <c r="E18" i="36" s="1"/>
  <c r="H18" i="36" s="1"/>
  <c r="C17" i="36"/>
  <c r="D17" i="36" s="1"/>
  <c r="E17" i="36" s="1"/>
  <c r="C16" i="36"/>
  <c r="D16" i="36" s="1"/>
  <c r="E16" i="36" s="1"/>
  <c r="H16" i="36" s="1"/>
  <c r="C15" i="36"/>
  <c r="D15" i="36" s="1"/>
  <c r="E15" i="36" s="1"/>
  <c r="H15" i="36" s="1"/>
  <c r="C14" i="36"/>
  <c r="D14" i="36" s="1"/>
  <c r="E14" i="36" s="1"/>
  <c r="C13" i="36"/>
  <c r="D13" i="36" s="1"/>
  <c r="E13" i="36" s="1"/>
  <c r="H13" i="36" s="1"/>
  <c r="C12" i="36"/>
  <c r="D12" i="36" s="1"/>
  <c r="E12" i="36" s="1"/>
  <c r="H12" i="36" s="1"/>
  <c r="E11" i="36"/>
  <c r="C11" i="36"/>
  <c r="D11" i="36" s="1"/>
  <c r="D10" i="36"/>
  <c r="E10" i="36" s="1"/>
  <c r="C10" i="36"/>
  <c r="E9" i="36"/>
  <c r="C9" i="36"/>
  <c r="D9" i="36" s="1"/>
  <c r="D8" i="36"/>
  <c r="E8" i="36" s="1"/>
  <c r="C8" i="36"/>
  <c r="E7" i="36"/>
  <c r="C7" i="36"/>
  <c r="D7" i="36" s="1"/>
  <c r="D6" i="36"/>
  <c r="E6" i="36" s="1"/>
  <c r="C6" i="36"/>
  <c r="D5" i="36"/>
  <c r="E5" i="36" s="1"/>
  <c r="C5" i="36"/>
  <c r="C4" i="36"/>
  <c r="D4" i="36" s="1"/>
  <c r="N52" i="35"/>
  <c r="O52" i="35" s="1"/>
  <c r="N51" i="35"/>
  <c r="O51" i="35" s="1"/>
  <c r="N50" i="35"/>
  <c r="O50" i="35" s="1"/>
  <c r="N49" i="35"/>
  <c r="O49" i="35" s="1"/>
  <c r="N48" i="35"/>
  <c r="O48" i="35" s="1"/>
  <c r="N47" i="35"/>
  <c r="O47" i="35" s="1"/>
  <c r="N46" i="35"/>
  <c r="O46" i="35" s="1"/>
  <c r="N45" i="35"/>
  <c r="O45" i="35" s="1"/>
  <c r="N44" i="35"/>
  <c r="O44" i="35" s="1"/>
  <c r="N43" i="35"/>
  <c r="O43" i="35" s="1"/>
  <c r="N42" i="35"/>
  <c r="O42" i="35" s="1"/>
  <c r="N41" i="35"/>
  <c r="O41" i="35" s="1"/>
  <c r="N40" i="35"/>
  <c r="O40" i="35" s="1"/>
  <c r="N39" i="35"/>
  <c r="O39" i="35" s="1"/>
  <c r="N38" i="35"/>
  <c r="O38" i="35" s="1"/>
  <c r="G38" i="35"/>
  <c r="O37" i="35"/>
  <c r="N37" i="35"/>
  <c r="G37" i="35"/>
  <c r="N36" i="35"/>
  <c r="O36" i="35" s="1"/>
  <c r="G36" i="35"/>
  <c r="N35" i="35"/>
  <c r="O35" i="35" s="1"/>
  <c r="G35" i="35"/>
  <c r="G34" i="35"/>
  <c r="G33" i="35"/>
  <c r="G32" i="35"/>
  <c r="D26" i="35"/>
  <c r="D25" i="35"/>
  <c r="D24" i="35"/>
  <c r="C24" i="35"/>
  <c r="D23" i="35"/>
  <c r="D22" i="35"/>
  <c r="C22" i="35"/>
  <c r="D21" i="35"/>
  <c r="D20" i="35"/>
  <c r="D19" i="35"/>
  <c r="D18" i="35"/>
  <c r="C18" i="35"/>
  <c r="D17" i="35"/>
  <c r="D16" i="35"/>
  <c r="C16" i="35"/>
  <c r="D15" i="35"/>
  <c r="D14" i="35"/>
  <c r="D13" i="35"/>
  <c r="D12" i="35"/>
  <c r="C12" i="35"/>
  <c r="D11" i="35"/>
  <c r="D10" i="35"/>
  <c r="C10" i="35"/>
  <c r="D9" i="35"/>
  <c r="D8" i="35"/>
  <c r="D7" i="35"/>
  <c r="D6" i="35"/>
  <c r="C6" i="35"/>
  <c r="F24" i="34"/>
  <c r="D24" i="34"/>
  <c r="C26" i="35" s="1"/>
  <c r="D23" i="34"/>
  <c r="F23" i="34" s="1"/>
  <c r="F22" i="34"/>
  <c r="D22" i="34"/>
  <c r="D21" i="34"/>
  <c r="C23" i="35" s="1"/>
  <c r="F20" i="34"/>
  <c r="D20" i="34"/>
  <c r="D19" i="34"/>
  <c r="F19" i="34" s="1"/>
  <c r="F18" i="34"/>
  <c r="D18" i="34"/>
  <c r="C20" i="35" s="1"/>
  <c r="D17" i="34"/>
  <c r="F17" i="34" s="1"/>
  <c r="F16" i="34"/>
  <c r="D16" i="34"/>
  <c r="D15" i="34"/>
  <c r="C17" i="35" s="1"/>
  <c r="F14" i="34"/>
  <c r="D14" i="34"/>
  <c r="D13" i="34"/>
  <c r="F13" i="34" s="1"/>
  <c r="F12" i="34"/>
  <c r="D12" i="34"/>
  <c r="C14" i="35" s="1"/>
  <c r="D11" i="34"/>
  <c r="F11" i="34" s="1"/>
  <c r="F10" i="34"/>
  <c r="D10" i="34"/>
  <c r="D9" i="34"/>
  <c r="C11" i="35" s="1"/>
  <c r="F8" i="34"/>
  <c r="D8" i="34"/>
  <c r="D7" i="34"/>
  <c r="F7" i="34" s="1"/>
  <c r="F6" i="34"/>
  <c r="D6" i="34"/>
  <c r="C8" i="35" s="1"/>
  <c r="D5" i="34"/>
  <c r="F5" i="34" s="1"/>
  <c r="F4" i="34"/>
  <c r="D4" i="34"/>
  <c r="D31" i="33"/>
  <c r="E31" i="33" s="1"/>
  <c r="C31" i="33"/>
  <c r="C30" i="33"/>
  <c r="D30" i="33" s="1"/>
  <c r="E30" i="33" s="1"/>
  <c r="C29" i="33"/>
  <c r="D29" i="33" s="1"/>
  <c r="E29" i="33" s="1"/>
  <c r="C28" i="33"/>
  <c r="D28" i="33" s="1"/>
  <c r="E28" i="33" s="1"/>
  <c r="H28" i="33" s="1"/>
  <c r="C27" i="33"/>
  <c r="D27" i="33" s="1"/>
  <c r="E27" i="33" s="1"/>
  <c r="H27" i="33" s="1"/>
  <c r="C26" i="33"/>
  <c r="D26" i="33" s="1"/>
  <c r="E26" i="33" s="1"/>
  <c r="C25" i="33"/>
  <c r="D25" i="33" s="1"/>
  <c r="E25" i="33" s="1"/>
  <c r="H25" i="33" s="1"/>
  <c r="C24" i="33"/>
  <c r="D24" i="33" s="1"/>
  <c r="E24" i="33" s="1"/>
  <c r="H24" i="33" s="1"/>
  <c r="C23" i="33"/>
  <c r="D23" i="33" s="1"/>
  <c r="E23" i="33" s="1"/>
  <c r="C22" i="33"/>
  <c r="D22" i="33" s="1"/>
  <c r="E22" i="33" s="1"/>
  <c r="H22" i="33" s="1"/>
  <c r="C21" i="33"/>
  <c r="D21" i="33" s="1"/>
  <c r="E21" i="33" s="1"/>
  <c r="H21" i="33" s="1"/>
  <c r="C20" i="33"/>
  <c r="D20" i="33" s="1"/>
  <c r="E20" i="33" s="1"/>
  <c r="C19" i="33"/>
  <c r="D19" i="33" s="1"/>
  <c r="E19" i="33" s="1"/>
  <c r="H19" i="33" s="1"/>
  <c r="C18" i="33"/>
  <c r="D18" i="33" s="1"/>
  <c r="E18" i="33" s="1"/>
  <c r="H18" i="33" s="1"/>
  <c r="C17" i="33"/>
  <c r="D17" i="33" s="1"/>
  <c r="E17" i="33" s="1"/>
  <c r="C16" i="33"/>
  <c r="D16" i="33" s="1"/>
  <c r="E16" i="33" s="1"/>
  <c r="H16" i="33" s="1"/>
  <c r="C15" i="33"/>
  <c r="D15" i="33" s="1"/>
  <c r="E15" i="33" s="1"/>
  <c r="H15" i="33" s="1"/>
  <c r="C14" i="33"/>
  <c r="D14" i="33" s="1"/>
  <c r="E14" i="33" s="1"/>
  <c r="C13" i="33"/>
  <c r="D13" i="33" s="1"/>
  <c r="E13" i="33" s="1"/>
  <c r="H13" i="33" s="1"/>
  <c r="C12" i="33"/>
  <c r="D12" i="33" s="1"/>
  <c r="E12" i="33" s="1"/>
  <c r="H12" i="33" s="1"/>
  <c r="C11" i="33"/>
  <c r="D11" i="33" s="1"/>
  <c r="E11" i="33" s="1"/>
  <c r="C10" i="33"/>
  <c r="D10" i="33" s="1"/>
  <c r="E10" i="33" s="1"/>
  <c r="C9" i="33"/>
  <c r="D9" i="33" s="1"/>
  <c r="E9" i="33" s="1"/>
  <c r="D8" i="33"/>
  <c r="E8" i="33" s="1"/>
  <c r="C8" i="33"/>
  <c r="C7" i="33"/>
  <c r="D7" i="33" s="1"/>
  <c r="E7" i="33" s="1"/>
  <c r="C6" i="33"/>
  <c r="D6" i="33" s="1"/>
  <c r="E6" i="33" s="1"/>
  <c r="C5" i="33"/>
  <c r="D5" i="33" s="1"/>
  <c r="E5" i="33" s="1"/>
  <c r="D4" i="33"/>
  <c r="C4" i="33"/>
  <c r="N52" i="32"/>
  <c r="O52" i="32" s="1"/>
  <c r="O51" i="32"/>
  <c r="N51" i="32"/>
  <c r="N50" i="32"/>
  <c r="O50" i="32" s="1"/>
  <c r="O49" i="32"/>
  <c r="N49" i="32"/>
  <c r="N48" i="32"/>
  <c r="O48" i="32" s="1"/>
  <c r="O47" i="32"/>
  <c r="N47" i="32"/>
  <c r="N46" i="32"/>
  <c r="O46" i="32" s="1"/>
  <c r="O45" i="32"/>
  <c r="N45" i="32"/>
  <c r="N44" i="32"/>
  <c r="O44" i="32" s="1"/>
  <c r="O43" i="32"/>
  <c r="N43" i="32"/>
  <c r="N42" i="32"/>
  <c r="O42" i="32" s="1"/>
  <c r="O41" i="32"/>
  <c r="N41" i="32"/>
  <c r="N40" i="32"/>
  <c r="O40" i="32" s="1"/>
  <c r="O39" i="32"/>
  <c r="N39" i="32"/>
  <c r="N38" i="32"/>
  <c r="O38" i="32" s="1"/>
  <c r="G38" i="32"/>
  <c r="N37" i="32"/>
  <c r="O37" i="32" s="1"/>
  <c r="G37" i="32"/>
  <c r="O36" i="32"/>
  <c r="N36" i="32"/>
  <c r="G36" i="32"/>
  <c r="N35" i="32"/>
  <c r="O35" i="32" s="1"/>
  <c r="G35" i="32"/>
  <c r="G34" i="32"/>
  <c r="G33" i="32"/>
  <c r="G32" i="32"/>
  <c r="D26" i="32"/>
  <c r="D25" i="32"/>
  <c r="D24" i="32"/>
  <c r="C24" i="32"/>
  <c r="E24" i="32" s="1"/>
  <c r="D23" i="32"/>
  <c r="D22" i="32"/>
  <c r="C22" i="32"/>
  <c r="D21" i="32"/>
  <c r="D20" i="32"/>
  <c r="D19" i="32"/>
  <c r="D18" i="32"/>
  <c r="C18" i="32"/>
  <c r="D17" i="32"/>
  <c r="D16" i="32"/>
  <c r="C16" i="32"/>
  <c r="D15" i="32"/>
  <c r="D14" i="32"/>
  <c r="D13" i="32"/>
  <c r="D12" i="32"/>
  <c r="C12" i="32"/>
  <c r="D11" i="32"/>
  <c r="D10" i="32"/>
  <c r="C10" i="32"/>
  <c r="D9" i="32"/>
  <c r="D8" i="32"/>
  <c r="D7" i="32"/>
  <c r="D6" i="32"/>
  <c r="C6" i="32"/>
  <c r="D24" i="31"/>
  <c r="F24" i="31" s="1"/>
  <c r="D23" i="31"/>
  <c r="C25" i="32" s="1"/>
  <c r="D22" i="31"/>
  <c r="F22" i="31" s="1"/>
  <c r="D21" i="31"/>
  <c r="C23" i="32" s="1"/>
  <c r="D20" i="31"/>
  <c r="F20" i="31" s="1"/>
  <c r="D19" i="31"/>
  <c r="C21" i="32" s="1"/>
  <c r="D18" i="31"/>
  <c r="F18" i="31" s="1"/>
  <c r="D17" i="31"/>
  <c r="C19" i="32" s="1"/>
  <c r="D16" i="31"/>
  <c r="F16" i="31" s="1"/>
  <c r="D15" i="31"/>
  <c r="C17" i="32" s="1"/>
  <c r="D14" i="31"/>
  <c r="F14" i="31" s="1"/>
  <c r="D13" i="31"/>
  <c r="C15" i="32" s="1"/>
  <c r="E15" i="32" s="1"/>
  <c r="F15" i="32" s="1"/>
  <c r="D12" i="31"/>
  <c r="F12" i="31" s="1"/>
  <c r="D11" i="31"/>
  <c r="F11" i="31" s="1"/>
  <c r="D10" i="31"/>
  <c r="F10" i="31" s="1"/>
  <c r="D9" i="31"/>
  <c r="C11" i="32" s="1"/>
  <c r="D8" i="31"/>
  <c r="F8" i="31" s="1"/>
  <c r="D7" i="31"/>
  <c r="F7" i="31" s="1"/>
  <c r="D6" i="31"/>
  <c r="F6" i="31" s="1"/>
  <c r="D5" i="31"/>
  <c r="F5" i="31" s="1"/>
  <c r="D4" i="31"/>
  <c r="F4" i="31" s="1"/>
  <c r="D31" i="30"/>
  <c r="E31" i="30" s="1"/>
  <c r="C31" i="30"/>
  <c r="C30" i="30"/>
  <c r="D30" i="30" s="1"/>
  <c r="E30" i="30" s="1"/>
  <c r="C29" i="30"/>
  <c r="D29" i="30" s="1"/>
  <c r="E29" i="30" s="1"/>
  <c r="C28" i="30"/>
  <c r="D28" i="30" s="1"/>
  <c r="E28" i="30" s="1"/>
  <c r="H28" i="30" s="1"/>
  <c r="C27" i="30"/>
  <c r="D27" i="30" s="1"/>
  <c r="E27" i="30" s="1"/>
  <c r="H27" i="30" s="1"/>
  <c r="C26" i="30"/>
  <c r="D26" i="30" s="1"/>
  <c r="E26" i="30" s="1"/>
  <c r="C25" i="30"/>
  <c r="D25" i="30" s="1"/>
  <c r="E25" i="30" s="1"/>
  <c r="H25" i="30" s="1"/>
  <c r="C24" i="30"/>
  <c r="D24" i="30" s="1"/>
  <c r="E24" i="30" s="1"/>
  <c r="H24" i="30" s="1"/>
  <c r="C23" i="30"/>
  <c r="D23" i="30" s="1"/>
  <c r="E23" i="30" s="1"/>
  <c r="C22" i="30"/>
  <c r="D22" i="30" s="1"/>
  <c r="E22" i="30" s="1"/>
  <c r="H22" i="30" s="1"/>
  <c r="C21" i="30"/>
  <c r="D21" i="30" s="1"/>
  <c r="E21" i="30" s="1"/>
  <c r="H21" i="30" s="1"/>
  <c r="C20" i="30"/>
  <c r="D20" i="30" s="1"/>
  <c r="E20" i="30" s="1"/>
  <c r="C19" i="30"/>
  <c r="D19" i="30" s="1"/>
  <c r="E19" i="30" s="1"/>
  <c r="H19" i="30" s="1"/>
  <c r="C18" i="30"/>
  <c r="D18" i="30" s="1"/>
  <c r="E18" i="30" s="1"/>
  <c r="H18" i="30" s="1"/>
  <c r="C17" i="30"/>
  <c r="D17" i="30" s="1"/>
  <c r="E17" i="30" s="1"/>
  <c r="C16" i="30"/>
  <c r="D16" i="30" s="1"/>
  <c r="E16" i="30" s="1"/>
  <c r="H16" i="30" s="1"/>
  <c r="C15" i="30"/>
  <c r="D15" i="30" s="1"/>
  <c r="E15" i="30" s="1"/>
  <c r="H15" i="30" s="1"/>
  <c r="C14" i="30"/>
  <c r="D14" i="30" s="1"/>
  <c r="E14" i="30" s="1"/>
  <c r="C13" i="30"/>
  <c r="D13" i="30" s="1"/>
  <c r="E13" i="30" s="1"/>
  <c r="H13" i="30" s="1"/>
  <c r="C12" i="30"/>
  <c r="D12" i="30" s="1"/>
  <c r="E12" i="30" s="1"/>
  <c r="H12" i="30" s="1"/>
  <c r="E11" i="30"/>
  <c r="D11" i="30"/>
  <c r="C11" i="30"/>
  <c r="D10" i="30"/>
  <c r="E10" i="30" s="1"/>
  <c r="C10" i="30"/>
  <c r="C9" i="30"/>
  <c r="D9" i="30" s="1"/>
  <c r="E9" i="30" s="1"/>
  <c r="E8" i="30"/>
  <c r="D8" i="30"/>
  <c r="C8" i="30"/>
  <c r="E7" i="30"/>
  <c r="D7" i="30"/>
  <c r="C7" i="30"/>
  <c r="D6" i="30"/>
  <c r="E6" i="30" s="1"/>
  <c r="C6" i="30"/>
  <c r="C5" i="30"/>
  <c r="D5" i="30" s="1"/>
  <c r="E5" i="30" s="1"/>
  <c r="D4" i="30"/>
  <c r="C4" i="30"/>
  <c r="O52" i="29"/>
  <c r="N52" i="29"/>
  <c r="O51" i="29"/>
  <c r="N51" i="29"/>
  <c r="O50" i="29"/>
  <c r="N50" i="29"/>
  <c r="O49" i="29"/>
  <c r="N49" i="29"/>
  <c r="O48" i="29"/>
  <c r="N48" i="29"/>
  <c r="O47" i="29"/>
  <c r="N47" i="29"/>
  <c r="O46" i="29"/>
  <c r="N46" i="29"/>
  <c r="O45" i="29"/>
  <c r="N45" i="29"/>
  <c r="O44" i="29"/>
  <c r="N44" i="29"/>
  <c r="O43" i="29"/>
  <c r="N43" i="29"/>
  <c r="O42" i="29"/>
  <c r="N42" i="29"/>
  <c r="O41" i="29"/>
  <c r="N41" i="29"/>
  <c r="O40" i="29"/>
  <c r="N40" i="29"/>
  <c r="O39" i="29"/>
  <c r="N39" i="29"/>
  <c r="O38" i="29"/>
  <c r="N38" i="29"/>
  <c r="G38" i="29"/>
  <c r="N37" i="29"/>
  <c r="O37" i="29" s="1"/>
  <c r="G37" i="29"/>
  <c r="O36" i="29"/>
  <c r="N36" i="29"/>
  <c r="G36" i="29"/>
  <c r="O35" i="29"/>
  <c r="N35" i="29"/>
  <c r="G35" i="29"/>
  <c r="G34" i="29"/>
  <c r="G33" i="29"/>
  <c r="G32" i="29"/>
  <c r="D26" i="29"/>
  <c r="D25" i="29"/>
  <c r="D24" i="29"/>
  <c r="D23" i="29"/>
  <c r="C23" i="29"/>
  <c r="D22" i="29"/>
  <c r="D21" i="29"/>
  <c r="D20" i="29"/>
  <c r="D19" i="29"/>
  <c r="D18" i="29"/>
  <c r="D17" i="29"/>
  <c r="C17" i="29"/>
  <c r="D16" i="29"/>
  <c r="D15" i="29"/>
  <c r="D14" i="29"/>
  <c r="D13" i="29"/>
  <c r="D12" i="29"/>
  <c r="D11" i="29"/>
  <c r="C11" i="29"/>
  <c r="D10" i="29"/>
  <c r="D9" i="29"/>
  <c r="D8" i="29"/>
  <c r="D7" i="29"/>
  <c r="D6" i="29"/>
  <c r="D24" i="28"/>
  <c r="C26" i="29" s="1"/>
  <c r="F23" i="28"/>
  <c r="D23" i="28"/>
  <c r="C25" i="29" s="1"/>
  <c r="D22" i="28"/>
  <c r="C24" i="29" s="1"/>
  <c r="F21" i="28"/>
  <c r="D21" i="28"/>
  <c r="D20" i="28"/>
  <c r="C22" i="29" s="1"/>
  <c r="F19" i="28"/>
  <c r="D19" i="28"/>
  <c r="C21" i="29" s="1"/>
  <c r="D18" i="28"/>
  <c r="F18" i="28" s="1"/>
  <c r="F17" i="28"/>
  <c r="D17" i="28"/>
  <c r="C19" i="29" s="1"/>
  <c r="D16" i="28"/>
  <c r="C18" i="29" s="1"/>
  <c r="F15" i="28"/>
  <c r="D15" i="28"/>
  <c r="D14" i="28"/>
  <c r="C16" i="29" s="1"/>
  <c r="F13" i="28"/>
  <c r="D13" i="28"/>
  <c r="C15" i="29" s="1"/>
  <c r="E15" i="29" s="1"/>
  <c r="F15" i="29" s="1"/>
  <c r="D12" i="28"/>
  <c r="C14" i="29" s="1"/>
  <c r="F11" i="28"/>
  <c r="D11" i="28"/>
  <c r="C13" i="29" s="1"/>
  <c r="D10" i="28"/>
  <c r="C12" i="29" s="1"/>
  <c r="E12" i="29" s="1"/>
  <c r="F12" i="29" s="1"/>
  <c r="F9" i="28"/>
  <c r="D9" i="28"/>
  <c r="D8" i="28"/>
  <c r="C10" i="29" s="1"/>
  <c r="F7" i="28"/>
  <c r="D7" i="28"/>
  <c r="C9" i="29" s="1"/>
  <c r="E9" i="29" s="1"/>
  <c r="F9" i="29" s="1"/>
  <c r="D6" i="28"/>
  <c r="F6" i="28" s="1"/>
  <c r="F5" i="28"/>
  <c r="D5" i="28"/>
  <c r="C7" i="29" s="1"/>
  <c r="D4" i="28"/>
  <c r="C6" i="29" s="1"/>
  <c r="E24" i="29" l="1"/>
  <c r="F24" i="29" s="1"/>
  <c r="H17" i="30"/>
  <c r="F17" i="30"/>
  <c r="G17" i="30" s="1"/>
  <c r="F29" i="30"/>
  <c r="H20" i="33"/>
  <c r="F20" i="33"/>
  <c r="G20" i="33" s="1"/>
  <c r="H14" i="36"/>
  <c r="F14" i="36"/>
  <c r="G14" i="36" s="1"/>
  <c r="H26" i="36"/>
  <c r="F26" i="36"/>
  <c r="G26" i="36" s="1"/>
  <c r="F14" i="30"/>
  <c r="G14" i="30" s="1"/>
  <c r="H14" i="30"/>
  <c r="F26" i="30"/>
  <c r="G26" i="30" s="1"/>
  <c r="H26" i="30"/>
  <c r="F17" i="33"/>
  <c r="G17" i="33" s="1"/>
  <c r="H17" i="33"/>
  <c r="F29" i="33"/>
  <c r="E12" i="35"/>
  <c r="F12" i="35" s="1"/>
  <c r="B39" i="30"/>
  <c r="H23" i="30"/>
  <c r="F23" i="30"/>
  <c r="G23" i="30" s="1"/>
  <c r="H14" i="33"/>
  <c r="F14" i="33"/>
  <c r="G14" i="33" s="1"/>
  <c r="H26" i="33"/>
  <c r="F26" i="33"/>
  <c r="G26" i="33" s="1"/>
  <c r="H20" i="36"/>
  <c r="F20" i="36"/>
  <c r="G20" i="36" s="1"/>
  <c r="E18" i="29"/>
  <c r="F18" i="29" s="1"/>
  <c r="E21" i="29"/>
  <c r="F21" i="29" s="1"/>
  <c r="F20" i="30"/>
  <c r="G20" i="30" s="1"/>
  <c r="H20" i="30"/>
  <c r="E21" i="32"/>
  <c r="F21" i="32" s="1"/>
  <c r="F11" i="33"/>
  <c r="B34" i="33" a="1"/>
  <c r="H11" i="33"/>
  <c r="F23" i="33"/>
  <c r="G23" i="33" s="1"/>
  <c r="H23" i="33"/>
  <c r="C8" i="29"/>
  <c r="E6" i="29" s="1"/>
  <c r="F6" i="29" s="1"/>
  <c r="C20" i="29"/>
  <c r="B34" i="30" a="1"/>
  <c r="C7" i="32"/>
  <c r="C9" i="32"/>
  <c r="E9" i="32" s="1"/>
  <c r="F9" i="32" s="1"/>
  <c r="C13" i="32"/>
  <c r="E12" i="32" s="1"/>
  <c r="F12" i="32" s="1"/>
  <c r="H12" i="39"/>
  <c r="F11" i="39"/>
  <c r="H28" i="42"/>
  <c r="F26" i="42"/>
  <c r="G26" i="42" s="1"/>
  <c r="F4" i="28"/>
  <c r="F8" i="28"/>
  <c r="F10" i="28"/>
  <c r="F12" i="28"/>
  <c r="F14" i="28"/>
  <c r="F16" i="28"/>
  <c r="F20" i="28"/>
  <c r="F22" i="28"/>
  <c r="F24" i="28"/>
  <c r="F11" i="30"/>
  <c r="F9" i="31"/>
  <c r="F13" i="31"/>
  <c r="F15" i="31"/>
  <c r="F17" i="31"/>
  <c r="F19" i="31"/>
  <c r="F21" i="31"/>
  <c r="F23" i="31"/>
  <c r="C7" i="35"/>
  <c r="E6" i="35" s="1"/>
  <c r="F6" i="35" s="1"/>
  <c r="C9" i="35"/>
  <c r="E9" i="35" s="1"/>
  <c r="F9" i="35" s="1"/>
  <c r="C13" i="35"/>
  <c r="C15" i="35"/>
  <c r="E15" i="35" s="1"/>
  <c r="F15" i="35" s="1"/>
  <c r="C19" i="35"/>
  <c r="E18" i="35" s="1"/>
  <c r="F18" i="35" s="1"/>
  <c r="C21" i="35"/>
  <c r="E21" i="35" s="1"/>
  <c r="F21" i="35" s="1"/>
  <c r="C25" i="35"/>
  <c r="E24" i="35" s="1"/>
  <c r="F24" i="35" s="1"/>
  <c r="H18" i="39"/>
  <c r="F17" i="39"/>
  <c r="G17" i="39" s="1"/>
  <c r="F20" i="39"/>
  <c r="G20" i="39" s="1"/>
  <c r="H20" i="39"/>
  <c r="H16" i="42"/>
  <c r="F14" i="42"/>
  <c r="G14" i="42" s="1"/>
  <c r="E21" i="44"/>
  <c r="F21" i="44" s="1"/>
  <c r="F11" i="36"/>
  <c r="B34" i="36" a="1"/>
  <c r="H11" i="36"/>
  <c r="C8" i="32"/>
  <c r="E6" i="32" s="1"/>
  <c r="F6" i="32" s="1"/>
  <c r="C14" i="32"/>
  <c r="C20" i="32"/>
  <c r="E18" i="32" s="1"/>
  <c r="F18" i="32" s="1"/>
  <c r="C26" i="32"/>
  <c r="F24" i="32" s="1"/>
  <c r="F9" i="34"/>
  <c r="F15" i="34"/>
  <c r="F21" i="34"/>
  <c r="F17" i="36"/>
  <c r="G17" i="36" s="1"/>
  <c r="H17" i="36"/>
  <c r="F29" i="36"/>
  <c r="B34" i="39" a="1"/>
  <c r="H24" i="39"/>
  <c r="F23" i="39"/>
  <c r="G23" i="39" s="1"/>
  <c r="F26" i="39"/>
  <c r="G26" i="39" s="1"/>
  <c r="H26" i="39"/>
  <c r="F23" i="42"/>
  <c r="G23" i="42" s="1"/>
  <c r="H23" i="42"/>
  <c r="F23" i="36"/>
  <c r="G23" i="36" s="1"/>
  <c r="H23" i="36"/>
  <c r="F14" i="39"/>
  <c r="G14" i="39" s="1"/>
  <c r="H14" i="39"/>
  <c r="H11" i="30"/>
  <c r="E6" i="38"/>
  <c r="F6" i="38" s="1"/>
  <c r="E12" i="38"/>
  <c r="F12" i="38" s="1"/>
  <c r="E18" i="38"/>
  <c r="F18" i="38" s="1"/>
  <c r="E24" i="38"/>
  <c r="F24" i="38" s="1"/>
  <c r="F11" i="42"/>
  <c r="G11" i="42" s="1"/>
  <c r="B34" i="42" a="1"/>
  <c r="H11" i="42"/>
  <c r="C8" i="41"/>
  <c r="C14" i="41"/>
  <c r="C20" i="41"/>
  <c r="C26" i="41"/>
  <c r="C23" i="44"/>
  <c r="F21" i="43"/>
  <c r="F26" i="45"/>
  <c r="G26" i="45" s="1"/>
  <c r="H26" i="45"/>
  <c r="B34" i="48" a="1"/>
  <c r="H15" i="51"/>
  <c r="F14" i="51"/>
  <c r="G14" i="51" s="1"/>
  <c r="E12" i="53"/>
  <c r="F12" i="53" s="1"/>
  <c r="F4" i="40"/>
  <c r="F8" i="40"/>
  <c r="F10" i="40"/>
  <c r="F14" i="40"/>
  <c r="F16" i="40"/>
  <c r="F20" i="40"/>
  <c r="F22" i="40"/>
  <c r="H17" i="42"/>
  <c r="F5" i="43"/>
  <c r="F13" i="43"/>
  <c r="B34" i="45" a="1"/>
  <c r="F11" i="45"/>
  <c r="G11" i="45" s="1"/>
  <c r="H17" i="45"/>
  <c r="H20" i="45"/>
  <c r="F20" i="45"/>
  <c r="G20" i="45" s="1"/>
  <c r="C10" i="47"/>
  <c r="E9" i="47" s="1"/>
  <c r="F9" i="47" s="1"/>
  <c r="F8" i="46"/>
  <c r="C18" i="47"/>
  <c r="E18" i="47" s="1"/>
  <c r="F18" i="47" s="1"/>
  <c r="F16" i="46"/>
  <c r="E21" i="47"/>
  <c r="F21" i="47" s="1"/>
  <c r="F24" i="46"/>
  <c r="C26" i="47"/>
  <c r="C11" i="50"/>
  <c r="F9" i="49"/>
  <c r="F17" i="49"/>
  <c r="C19" i="50"/>
  <c r="E18" i="50" s="1"/>
  <c r="F18" i="50" s="1"/>
  <c r="B34" i="51" a="1"/>
  <c r="F11" i="51"/>
  <c r="G11" i="51" s="1"/>
  <c r="H11" i="51"/>
  <c r="H11" i="39"/>
  <c r="C7" i="41"/>
  <c r="E6" i="41" s="1"/>
  <c r="F6" i="41" s="1"/>
  <c r="C9" i="41"/>
  <c r="E9" i="41" s="1"/>
  <c r="F9" i="41" s="1"/>
  <c r="C13" i="41"/>
  <c r="E12" i="41" s="1"/>
  <c r="F12" i="41" s="1"/>
  <c r="C15" i="41"/>
  <c r="E15" i="41" s="1"/>
  <c r="F15" i="41" s="1"/>
  <c r="C19" i="41"/>
  <c r="E18" i="41" s="1"/>
  <c r="F18" i="41" s="1"/>
  <c r="C21" i="41"/>
  <c r="E21" i="41" s="1"/>
  <c r="F21" i="41" s="1"/>
  <c r="C25" i="41"/>
  <c r="E24" i="41" s="1"/>
  <c r="F24" i="41" s="1"/>
  <c r="F29" i="42"/>
  <c r="E12" i="44"/>
  <c r="F12" i="44" s="1"/>
  <c r="C19" i="44"/>
  <c r="E24" i="44"/>
  <c r="F24" i="44" s="1"/>
  <c r="H11" i="45"/>
  <c r="H14" i="45"/>
  <c r="F14" i="45"/>
  <c r="G14" i="45" s="1"/>
  <c r="B39" i="48"/>
  <c r="H11" i="48"/>
  <c r="F11" i="48"/>
  <c r="F20" i="48"/>
  <c r="G20" i="48" s="1"/>
  <c r="H20" i="48"/>
  <c r="F20" i="42"/>
  <c r="G20" i="42" s="1"/>
  <c r="F9" i="43"/>
  <c r="F23" i="45"/>
  <c r="G23" i="45" s="1"/>
  <c r="C16" i="47"/>
  <c r="E15" i="47" s="1"/>
  <c r="F15" i="47" s="1"/>
  <c r="F14" i="46"/>
  <c r="C24" i="47"/>
  <c r="E24" i="47" s="1"/>
  <c r="F24" i="47" s="1"/>
  <c r="F22" i="46"/>
  <c r="H17" i="48"/>
  <c r="F17" i="48"/>
  <c r="G17" i="48" s="1"/>
  <c r="F26" i="48"/>
  <c r="G26" i="48" s="1"/>
  <c r="H26" i="48"/>
  <c r="C17" i="50"/>
  <c r="F15" i="49"/>
  <c r="C9" i="50"/>
  <c r="E9" i="50" s="1"/>
  <c r="F9" i="50" s="1"/>
  <c r="C8" i="44"/>
  <c r="E6" i="44" s="1"/>
  <c r="F6" i="44" s="1"/>
  <c r="C14" i="44"/>
  <c r="C20" i="44"/>
  <c r="E18" i="44" s="1"/>
  <c r="F18" i="44" s="1"/>
  <c r="C26" i="44"/>
  <c r="C6" i="47"/>
  <c r="E6" i="47" s="1"/>
  <c r="F6" i="47" s="1"/>
  <c r="F4" i="46"/>
  <c r="C22" i="47"/>
  <c r="F20" i="46"/>
  <c r="C14" i="47"/>
  <c r="H23" i="48"/>
  <c r="F23" i="48"/>
  <c r="G23" i="48" s="1"/>
  <c r="C23" i="50"/>
  <c r="E21" i="50" s="1"/>
  <c r="F21" i="50" s="1"/>
  <c r="F21" i="49"/>
  <c r="C7" i="50"/>
  <c r="E6" i="50" s="1"/>
  <c r="F6" i="50" s="1"/>
  <c r="E12" i="50"/>
  <c r="F12" i="50" s="1"/>
  <c r="E24" i="50"/>
  <c r="F24" i="50" s="1"/>
  <c r="C12" i="47"/>
  <c r="E12" i="47" s="1"/>
  <c r="F12" i="47" s="1"/>
  <c r="F10" i="46"/>
  <c r="F14" i="48"/>
  <c r="G14" i="48" s="1"/>
  <c r="H14" i="48"/>
  <c r="F29" i="48"/>
  <c r="C15" i="50"/>
  <c r="F20" i="51"/>
  <c r="G20" i="51" s="1"/>
  <c r="H20" i="51"/>
  <c r="F26" i="51"/>
  <c r="G26" i="51" s="1"/>
  <c r="H26" i="51"/>
  <c r="E18" i="53"/>
  <c r="F18" i="53" s="1"/>
  <c r="E21" i="53"/>
  <c r="F21" i="53" s="1"/>
  <c r="H17" i="51"/>
  <c r="F17" i="51"/>
  <c r="G17" i="51" s="1"/>
  <c r="E24" i="53"/>
  <c r="F14" i="54"/>
  <c r="G14" i="54" s="1"/>
  <c r="H14" i="54"/>
  <c r="F20" i="54"/>
  <c r="G20" i="54" s="1"/>
  <c r="H20" i="54"/>
  <c r="F26" i="54"/>
  <c r="G26" i="54" s="1"/>
  <c r="H26" i="54"/>
  <c r="E9" i="53"/>
  <c r="F9" i="53" s="1"/>
  <c r="B34" i="54" a="1"/>
  <c r="F23" i="51"/>
  <c r="G23" i="51" s="1"/>
  <c r="C8" i="53"/>
  <c r="E6" i="53" s="1"/>
  <c r="F6" i="53" s="1"/>
  <c r="C14" i="53"/>
  <c r="C20" i="53"/>
  <c r="C26" i="53"/>
  <c r="F11" i="54"/>
  <c r="G11" i="54" s="1"/>
  <c r="F17" i="54"/>
  <c r="G17" i="54" s="1"/>
  <c r="F23" i="54"/>
  <c r="G23" i="54" s="1"/>
  <c r="F4" i="52"/>
  <c r="F8" i="52"/>
  <c r="F10" i="52"/>
  <c r="F14" i="52"/>
  <c r="F16" i="52"/>
  <c r="F20" i="52"/>
  <c r="F22" i="52"/>
  <c r="H11" i="54"/>
  <c r="D6" i="26"/>
  <c r="C4" i="27"/>
  <c r="D4" i="27" s="1"/>
  <c r="M4" i="26"/>
  <c r="C11" i="27"/>
  <c r="D11" i="27" s="1"/>
  <c r="E11" i="27" s="1"/>
  <c r="C12" i="27"/>
  <c r="D12" i="27" s="1"/>
  <c r="E12" i="27" s="1"/>
  <c r="H12" i="27" s="1"/>
  <c r="C13" i="27"/>
  <c r="D13" i="27"/>
  <c r="E13" i="27" s="1"/>
  <c r="C14" i="27"/>
  <c r="D14" i="27"/>
  <c r="E14" i="27" s="1"/>
  <c r="C15" i="27"/>
  <c r="D15" i="27" s="1"/>
  <c r="E15" i="27" s="1"/>
  <c r="H15" i="27" s="1"/>
  <c r="C16" i="27"/>
  <c r="D16" i="27"/>
  <c r="E16" i="27" s="1"/>
  <c r="H16" i="27" s="1"/>
  <c r="C17" i="27"/>
  <c r="D17" i="27"/>
  <c r="E17" i="27"/>
  <c r="C18" i="27"/>
  <c r="D18" i="27" s="1"/>
  <c r="E18" i="27" s="1"/>
  <c r="C19" i="27"/>
  <c r="D19" i="27" s="1"/>
  <c r="E19" i="27" s="1"/>
  <c r="H19" i="27" s="1"/>
  <c r="C20" i="27"/>
  <c r="D20" i="27"/>
  <c r="E20" i="27" s="1"/>
  <c r="H20" i="27" s="1"/>
  <c r="C21" i="27"/>
  <c r="D21" i="27"/>
  <c r="E21" i="27"/>
  <c r="C22" i="27"/>
  <c r="D22" i="27" s="1"/>
  <c r="E22" i="27" s="1"/>
  <c r="H22" i="27" s="1"/>
  <c r="C23" i="27"/>
  <c r="D23" i="27" s="1"/>
  <c r="E23" i="27" s="1"/>
  <c r="C24" i="27"/>
  <c r="D24" i="27"/>
  <c r="E24" i="27" s="1"/>
  <c r="H24" i="27" s="1"/>
  <c r="C25" i="27"/>
  <c r="D25" i="27"/>
  <c r="E25" i="27"/>
  <c r="C26" i="27"/>
  <c r="D26" i="27" s="1"/>
  <c r="E26" i="27" s="1"/>
  <c r="C27" i="27"/>
  <c r="D27" i="27" s="1"/>
  <c r="E27" i="27" s="1"/>
  <c r="C28" i="27"/>
  <c r="D28" i="27"/>
  <c r="E28" i="27" s="1"/>
  <c r="H28" i="27" s="1"/>
  <c r="C31" i="27"/>
  <c r="D31" i="27" s="1"/>
  <c r="E31" i="27" s="1"/>
  <c r="C30" i="27"/>
  <c r="D30" i="27" s="1"/>
  <c r="E30" i="27" s="1"/>
  <c r="C29" i="27"/>
  <c r="D29" i="27"/>
  <c r="E29" i="27" s="1"/>
  <c r="F29" i="27" s="1"/>
  <c r="H27" i="27"/>
  <c r="H25" i="27"/>
  <c r="H21" i="27"/>
  <c r="F20" i="27"/>
  <c r="G20" i="27" s="1"/>
  <c r="H17" i="27"/>
  <c r="H13" i="27"/>
  <c r="C10" i="27"/>
  <c r="D10" i="27" s="1"/>
  <c r="E10" i="27" s="1"/>
  <c r="C9" i="27"/>
  <c r="D9" i="27" s="1"/>
  <c r="E9" i="27" s="1"/>
  <c r="C8" i="27"/>
  <c r="D8" i="27" s="1"/>
  <c r="E8" i="27" s="1"/>
  <c r="C7" i="27"/>
  <c r="D7" i="27" s="1"/>
  <c r="E7" i="27" s="1"/>
  <c r="C6" i="27"/>
  <c r="D6" i="27" s="1"/>
  <c r="E6" i="27" s="1"/>
  <c r="C5" i="27"/>
  <c r="D5" i="27" s="1"/>
  <c r="E5" i="27" s="1"/>
  <c r="N52" i="26"/>
  <c r="O52" i="26"/>
  <c r="N51" i="26"/>
  <c r="O51" i="26" s="1"/>
  <c r="N50" i="26"/>
  <c r="R38" i="26" s="1"/>
  <c r="O50" i="26"/>
  <c r="S38" i="26" s="1"/>
  <c r="N49" i="26"/>
  <c r="O49" i="26" s="1"/>
  <c r="N48" i="26"/>
  <c r="O48" i="26"/>
  <c r="N47" i="26"/>
  <c r="O47" i="26" s="1"/>
  <c r="N46" i="26"/>
  <c r="O46" i="26"/>
  <c r="N45" i="26"/>
  <c r="O45" i="26" s="1"/>
  <c r="N44" i="26"/>
  <c r="R36" i="26" s="1"/>
  <c r="O44" i="26"/>
  <c r="N43" i="26"/>
  <c r="O43" i="26" s="1"/>
  <c r="N42" i="26"/>
  <c r="O42" i="26"/>
  <c r="N41" i="26"/>
  <c r="O41" i="26" s="1"/>
  <c r="N40" i="26"/>
  <c r="O40" i="26"/>
  <c r="N39" i="26"/>
  <c r="O39" i="26" s="1"/>
  <c r="N38" i="26"/>
  <c r="R34" i="26" s="1"/>
  <c r="O38" i="26"/>
  <c r="G38" i="26"/>
  <c r="N37" i="26"/>
  <c r="O37" i="26"/>
  <c r="G37" i="26"/>
  <c r="N36" i="26"/>
  <c r="O36" i="26" s="1"/>
  <c r="G36" i="26"/>
  <c r="N35" i="26"/>
  <c r="G35" i="26"/>
  <c r="G34" i="26"/>
  <c r="G33" i="26"/>
  <c r="G32" i="26"/>
  <c r="D26" i="26"/>
  <c r="D24" i="25"/>
  <c r="C26" i="26"/>
  <c r="D25" i="26"/>
  <c r="D23" i="25"/>
  <c r="C25" i="26"/>
  <c r="D22" i="25"/>
  <c r="D24" i="26"/>
  <c r="D23" i="26"/>
  <c r="D21" i="25"/>
  <c r="C23" i="26"/>
  <c r="D22" i="26"/>
  <c r="D20" i="25"/>
  <c r="C22" i="26" s="1"/>
  <c r="D19" i="25"/>
  <c r="C21" i="26"/>
  <c r="E21" i="26" s="1"/>
  <c r="F21" i="26" s="1"/>
  <c r="D21" i="26"/>
  <c r="D20" i="26"/>
  <c r="D18" i="25"/>
  <c r="C20" i="26" s="1"/>
  <c r="D19" i="26"/>
  <c r="D17" i="25"/>
  <c r="D16" i="25"/>
  <c r="C18" i="26"/>
  <c r="D18" i="26"/>
  <c r="D17" i="26"/>
  <c r="D15" i="25"/>
  <c r="D16" i="26"/>
  <c r="D14" i="25"/>
  <c r="C16" i="26"/>
  <c r="D13" i="25"/>
  <c r="C15" i="26" s="1"/>
  <c r="D15" i="26"/>
  <c r="D14" i="26"/>
  <c r="D12" i="25"/>
  <c r="C14" i="26"/>
  <c r="D13" i="26"/>
  <c r="D11" i="25"/>
  <c r="C13" i="26"/>
  <c r="D10" i="25"/>
  <c r="D12" i="26"/>
  <c r="D11" i="26"/>
  <c r="D9" i="25"/>
  <c r="C11" i="26"/>
  <c r="D10" i="26"/>
  <c r="D8" i="25"/>
  <c r="C10" i="26" s="1"/>
  <c r="D7" i="25"/>
  <c r="C9" i="26"/>
  <c r="E9" i="26" s="1"/>
  <c r="F9" i="26" s="1"/>
  <c r="D9" i="26"/>
  <c r="D8" i="26"/>
  <c r="D6" i="25"/>
  <c r="C8" i="26" s="1"/>
  <c r="D7" i="26"/>
  <c r="D5" i="25"/>
  <c r="D4" i="25"/>
  <c r="C6" i="26" s="1"/>
  <c r="F24" i="25"/>
  <c r="F23" i="25"/>
  <c r="F21" i="25"/>
  <c r="F19" i="25"/>
  <c r="F18" i="25"/>
  <c r="F16" i="25"/>
  <c r="F14" i="25"/>
  <c r="F12" i="25"/>
  <c r="F11" i="25"/>
  <c r="F9" i="25"/>
  <c r="F7" i="25"/>
  <c r="F6" i="25"/>
  <c r="F4" i="25"/>
  <c r="C11" i="24"/>
  <c r="D11" i="24" s="1"/>
  <c r="E11" i="24" s="1"/>
  <c r="H11" i="24" s="1"/>
  <c r="C12" i="24"/>
  <c r="D12" i="24"/>
  <c r="E12" i="24" s="1"/>
  <c r="H12" i="24" s="1"/>
  <c r="C13" i="24"/>
  <c r="D13" i="24"/>
  <c r="E13" i="24"/>
  <c r="C14" i="24"/>
  <c r="D14" i="24" s="1"/>
  <c r="E14" i="24" s="1"/>
  <c r="H14" i="24" s="1"/>
  <c r="C15" i="24"/>
  <c r="D15" i="24" s="1"/>
  <c r="E15" i="24" s="1"/>
  <c r="H15" i="24" s="1"/>
  <c r="C16" i="24"/>
  <c r="D16" i="24"/>
  <c r="E16" i="24" s="1"/>
  <c r="C17" i="24"/>
  <c r="D17" i="24"/>
  <c r="E17" i="24"/>
  <c r="C18" i="24"/>
  <c r="D18" i="24" s="1"/>
  <c r="E18" i="24" s="1"/>
  <c r="C19" i="24"/>
  <c r="D19" i="24" s="1"/>
  <c r="E19" i="24" s="1"/>
  <c r="H19" i="24" s="1"/>
  <c r="C20" i="24"/>
  <c r="D20" i="24"/>
  <c r="E20" i="24" s="1"/>
  <c r="C21" i="24"/>
  <c r="D21" i="24"/>
  <c r="E21" i="24"/>
  <c r="H21" i="24" s="1"/>
  <c r="C22" i="24"/>
  <c r="D22" i="24" s="1"/>
  <c r="E22" i="24" s="1"/>
  <c r="H22" i="24" s="1"/>
  <c r="C23" i="24"/>
  <c r="D23" i="24" s="1"/>
  <c r="E23" i="24" s="1"/>
  <c r="C24" i="24"/>
  <c r="D24" i="24"/>
  <c r="E24" i="24" s="1"/>
  <c r="H24" i="24" s="1"/>
  <c r="C25" i="24"/>
  <c r="D25" i="24"/>
  <c r="E25" i="24"/>
  <c r="C26" i="24"/>
  <c r="D26" i="24" s="1"/>
  <c r="E26" i="24" s="1"/>
  <c r="H26" i="24" s="1"/>
  <c r="C27" i="24"/>
  <c r="D27" i="24" s="1"/>
  <c r="E27" i="24" s="1"/>
  <c r="C28" i="24"/>
  <c r="D28" i="24"/>
  <c r="E28" i="24" s="1"/>
  <c r="H28" i="24" s="1"/>
  <c r="C31" i="24"/>
  <c r="D31" i="24"/>
  <c r="E31" i="24" s="1"/>
  <c r="C30" i="24"/>
  <c r="D30" i="24" s="1"/>
  <c r="E30" i="24" s="1"/>
  <c r="C29" i="24"/>
  <c r="D29" i="24"/>
  <c r="E29" i="24" s="1"/>
  <c r="F29" i="24" s="1"/>
  <c r="H27" i="24"/>
  <c r="H25" i="24"/>
  <c r="H23" i="24"/>
  <c r="H20" i="24"/>
  <c r="F20" i="24"/>
  <c r="G20" i="24" s="1"/>
  <c r="H18" i="24"/>
  <c r="H17" i="24"/>
  <c r="H16" i="24"/>
  <c r="F14" i="24"/>
  <c r="G14" i="24" s="1"/>
  <c r="H13" i="24"/>
  <c r="F11" i="24"/>
  <c r="G11" i="24" s="1"/>
  <c r="C10" i="24"/>
  <c r="D10" i="24"/>
  <c r="E10" i="24"/>
  <c r="C9" i="24"/>
  <c r="D9" i="24" s="1"/>
  <c r="E9" i="24" s="1"/>
  <c r="C8" i="24"/>
  <c r="D8" i="24"/>
  <c r="E8" i="24" s="1"/>
  <c r="C7" i="24"/>
  <c r="D7" i="24" s="1"/>
  <c r="E7" i="24" s="1"/>
  <c r="C6" i="24"/>
  <c r="D6" i="24"/>
  <c r="E6" i="24" s="1"/>
  <c r="C5" i="24"/>
  <c r="D5" i="24" s="1"/>
  <c r="E5" i="24"/>
  <c r="C4" i="24"/>
  <c r="D4" i="24" s="1"/>
  <c r="N52" i="23"/>
  <c r="O52" i="23"/>
  <c r="N51" i="23"/>
  <c r="O51" i="23" s="1"/>
  <c r="N50" i="23"/>
  <c r="O50" i="23"/>
  <c r="T37" i="23" s="1"/>
  <c r="N49" i="23"/>
  <c r="O49" i="23" s="1"/>
  <c r="N48" i="23"/>
  <c r="O48" i="23"/>
  <c r="N47" i="23"/>
  <c r="R36" i="23" s="1"/>
  <c r="N46" i="23"/>
  <c r="O46" i="23"/>
  <c r="N45" i="23"/>
  <c r="O45" i="23" s="1"/>
  <c r="N44" i="23"/>
  <c r="O44" i="23"/>
  <c r="N43" i="23"/>
  <c r="O43" i="23" s="1"/>
  <c r="N42" i="23"/>
  <c r="O42" i="23"/>
  <c r="N41" i="23"/>
  <c r="N40" i="23"/>
  <c r="O40" i="23"/>
  <c r="N39" i="23"/>
  <c r="O39" i="23" s="1"/>
  <c r="N38" i="23"/>
  <c r="O38" i="23"/>
  <c r="G38" i="23"/>
  <c r="N37" i="23"/>
  <c r="O37" i="23" s="1"/>
  <c r="G37" i="23"/>
  <c r="N36" i="23"/>
  <c r="O36" i="23"/>
  <c r="G36" i="23"/>
  <c r="N35" i="23"/>
  <c r="O35" i="23"/>
  <c r="G35" i="23"/>
  <c r="G34" i="23"/>
  <c r="G33" i="23"/>
  <c r="G32" i="23"/>
  <c r="D26" i="23"/>
  <c r="D24" i="22"/>
  <c r="C26" i="23"/>
  <c r="D25" i="23"/>
  <c r="D23" i="22"/>
  <c r="D22" i="22"/>
  <c r="C24" i="23" s="1"/>
  <c r="D24" i="23"/>
  <c r="D23" i="23"/>
  <c r="D21" i="22"/>
  <c r="C23" i="23" s="1"/>
  <c r="D22" i="23"/>
  <c r="D20" i="22"/>
  <c r="D19" i="22"/>
  <c r="C21" i="23"/>
  <c r="D21" i="23"/>
  <c r="D20" i="23"/>
  <c r="D18" i="22"/>
  <c r="D19" i="23"/>
  <c r="D17" i="22"/>
  <c r="F17" i="22" s="1"/>
  <c r="D16" i="22"/>
  <c r="D18" i="23"/>
  <c r="D17" i="23"/>
  <c r="D15" i="22"/>
  <c r="C17" i="23"/>
  <c r="D16" i="23"/>
  <c r="D14" i="22"/>
  <c r="C16" i="23"/>
  <c r="D13" i="22"/>
  <c r="F13" i="22" s="1"/>
  <c r="C15" i="23"/>
  <c r="E15" i="23" s="1"/>
  <c r="F15" i="23" s="1"/>
  <c r="D15" i="23"/>
  <c r="D14" i="23"/>
  <c r="D12" i="22"/>
  <c r="C14" i="23"/>
  <c r="D13" i="23"/>
  <c r="D11" i="22"/>
  <c r="D10" i="22"/>
  <c r="C12" i="23" s="1"/>
  <c r="D12" i="23"/>
  <c r="D11" i="23"/>
  <c r="D9" i="22"/>
  <c r="C11" i="23" s="1"/>
  <c r="D10" i="23"/>
  <c r="D8" i="22"/>
  <c r="F8" i="22" s="1"/>
  <c r="D7" i="22"/>
  <c r="C9" i="23"/>
  <c r="D9" i="23"/>
  <c r="D8" i="23"/>
  <c r="D6" i="22"/>
  <c r="C8" i="23" s="1"/>
  <c r="D7" i="23"/>
  <c r="D5" i="22"/>
  <c r="C7" i="23"/>
  <c r="D4" i="22"/>
  <c r="D6" i="23"/>
  <c r="F24" i="22"/>
  <c r="F21" i="22"/>
  <c r="F19" i="22"/>
  <c r="F15" i="22"/>
  <c r="F14" i="22"/>
  <c r="F12" i="22"/>
  <c r="F10" i="22"/>
  <c r="F9" i="22"/>
  <c r="F7" i="22"/>
  <c r="F5" i="22"/>
  <c r="C11" i="21"/>
  <c r="D11" i="21" s="1"/>
  <c r="E11" i="21"/>
  <c r="C12" i="21"/>
  <c r="D12" i="21"/>
  <c r="E12" i="21" s="1"/>
  <c r="H12" i="21" s="1"/>
  <c r="C13" i="21"/>
  <c r="D13" i="21" s="1"/>
  <c r="E13" i="21"/>
  <c r="C14" i="21"/>
  <c r="D14" i="21" s="1"/>
  <c r="E14" i="21" s="1"/>
  <c r="C15" i="21"/>
  <c r="D15" i="21" s="1"/>
  <c r="E15" i="21" s="1"/>
  <c r="H15" i="21" s="1"/>
  <c r="C16" i="21"/>
  <c r="D16" i="21"/>
  <c r="E16" i="21"/>
  <c r="H16" i="21" s="1"/>
  <c r="C17" i="21"/>
  <c r="D17" i="21" s="1"/>
  <c r="E17" i="21" s="1"/>
  <c r="C18" i="21"/>
  <c r="D18" i="21" s="1"/>
  <c r="E18" i="21" s="1"/>
  <c r="C19" i="21"/>
  <c r="D19" i="21" s="1"/>
  <c r="E19" i="21" s="1"/>
  <c r="H19" i="21" s="1"/>
  <c r="C20" i="21"/>
  <c r="D20" i="21"/>
  <c r="E20" i="21" s="1"/>
  <c r="H20" i="21" s="1"/>
  <c r="C21" i="21"/>
  <c r="D21" i="21" s="1"/>
  <c r="E21" i="21" s="1"/>
  <c r="C22" i="21"/>
  <c r="D22" i="21" s="1"/>
  <c r="E22" i="21" s="1"/>
  <c r="H22" i="21" s="1"/>
  <c r="C23" i="21"/>
  <c r="D23" i="21"/>
  <c r="E23" i="21" s="1"/>
  <c r="C24" i="21"/>
  <c r="D24" i="21"/>
  <c r="E24" i="21" s="1"/>
  <c r="H24" i="21" s="1"/>
  <c r="C25" i="21"/>
  <c r="D25" i="21" s="1"/>
  <c r="E25" i="21" s="1"/>
  <c r="H25" i="21" s="1"/>
  <c r="C26" i="21"/>
  <c r="D26" i="21"/>
  <c r="E26" i="21" s="1"/>
  <c r="C27" i="21"/>
  <c r="D27" i="21" s="1"/>
  <c r="E27" i="21"/>
  <c r="H27" i="21" s="1"/>
  <c r="C28" i="21"/>
  <c r="D28" i="21"/>
  <c r="E28" i="21" s="1"/>
  <c r="H28" i="21" s="1"/>
  <c r="C31" i="21"/>
  <c r="D31" i="21"/>
  <c r="E31" i="21"/>
  <c r="C30" i="21"/>
  <c r="D30" i="21" s="1"/>
  <c r="E30" i="21" s="1"/>
  <c r="C29" i="21"/>
  <c r="D29" i="21"/>
  <c r="E29" i="21" s="1"/>
  <c r="H17" i="21"/>
  <c r="H14" i="21"/>
  <c r="H13" i="21"/>
  <c r="C10" i="21"/>
  <c r="D10" i="21" s="1"/>
  <c r="E10" i="21" s="1"/>
  <c r="C9" i="21"/>
  <c r="D9" i="21" s="1"/>
  <c r="E9" i="21" s="1"/>
  <c r="C8" i="21"/>
  <c r="D8" i="21"/>
  <c r="E8" i="21"/>
  <c r="C7" i="21"/>
  <c r="D7" i="21" s="1"/>
  <c r="E7" i="21"/>
  <c r="C6" i="21"/>
  <c r="D6" i="21" s="1"/>
  <c r="E6" i="21" s="1"/>
  <c r="C5" i="21"/>
  <c r="D5" i="21" s="1"/>
  <c r="E5" i="21" s="1"/>
  <c r="C4" i="21"/>
  <c r="D4" i="21"/>
  <c r="N52" i="20"/>
  <c r="O52" i="20" s="1"/>
  <c r="N51" i="20"/>
  <c r="O51" i="20"/>
  <c r="N50" i="20"/>
  <c r="N49" i="20"/>
  <c r="O49" i="20"/>
  <c r="N48" i="20"/>
  <c r="O48" i="20" s="1"/>
  <c r="N47" i="20"/>
  <c r="O47" i="20"/>
  <c r="S37" i="20" s="1"/>
  <c r="N46" i="20"/>
  <c r="O46" i="20" s="1"/>
  <c r="N45" i="20"/>
  <c r="O45" i="20"/>
  <c r="N44" i="20"/>
  <c r="N43" i="20"/>
  <c r="O43" i="20"/>
  <c r="N42" i="20"/>
  <c r="O42" i="20" s="1"/>
  <c r="N41" i="20"/>
  <c r="O41" i="20"/>
  <c r="N40" i="20"/>
  <c r="O40" i="20" s="1"/>
  <c r="N39" i="20"/>
  <c r="O39" i="20"/>
  <c r="N38" i="20"/>
  <c r="G38" i="20"/>
  <c r="N37" i="20"/>
  <c r="O37" i="20"/>
  <c r="G37" i="20"/>
  <c r="N36" i="20"/>
  <c r="O36" i="20"/>
  <c r="G36" i="20"/>
  <c r="N35" i="20"/>
  <c r="O35" i="20" s="1"/>
  <c r="G35" i="20"/>
  <c r="G34" i="20"/>
  <c r="G33" i="20"/>
  <c r="D26" i="20"/>
  <c r="D24" i="19"/>
  <c r="F24" i="19" s="1"/>
  <c r="D25" i="20"/>
  <c r="D23" i="19"/>
  <c r="C25" i="20"/>
  <c r="D22" i="19"/>
  <c r="C24" i="20"/>
  <c r="E24" i="20" s="1"/>
  <c r="D24" i="20"/>
  <c r="D23" i="20"/>
  <c r="D21" i="19"/>
  <c r="C23" i="20"/>
  <c r="D22" i="20"/>
  <c r="D20" i="19"/>
  <c r="C22" i="20" s="1"/>
  <c r="D19" i="19"/>
  <c r="D21" i="20"/>
  <c r="D20" i="20"/>
  <c r="D18" i="19"/>
  <c r="C20" i="20" s="1"/>
  <c r="D19" i="20"/>
  <c r="D17" i="19"/>
  <c r="F17" i="19" s="1"/>
  <c r="C19" i="20"/>
  <c r="D16" i="19"/>
  <c r="C18" i="20"/>
  <c r="D18" i="20"/>
  <c r="D17" i="20"/>
  <c r="D15" i="19"/>
  <c r="F15" i="19" s="1"/>
  <c r="C17" i="20"/>
  <c r="D16" i="20"/>
  <c r="D14" i="19"/>
  <c r="C16" i="20" s="1"/>
  <c r="D13" i="19"/>
  <c r="D15" i="20"/>
  <c r="D14" i="20"/>
  <c r="D12" i="19"/>
  <c r="C14" i="20"/>
  <c r="D13" i="20"/>
  <c r="D11" i="19"/>
  <c r="C13" i="20"/>
  <c r="D10" i="19"/>
  <c r="F10" i="19" s="1"/>
  <c r="D12" i="20"/>
  <c r="D11" i="20"/>
  <c r="D9" i="19"/>
  <c r="C11" i="20"/>
  <c r="D10" i="20"/>
  <c r="D8" i="19"/>
  <c r="C10" i="20" s="1"/>
  <c r="D7" i="19"/>
  <c r="C9" i="20"/>
  <c r="E9" i="20" s="1"/>
  <c r="F9" i="20" s="1"/>
  <c r="D9" i="20"/>
  <c r="D8" i="20"/>
  <c r="D6" i="19"/>
  <c r="D7" i="20"/>
  <c r="D5" i="19"/>
  <c r="F5" i="19" s="1"/>
  <c r="D4" i="19"/>
  <c r="C6" i="20"/>
  <c r="D6" i="20"/>
  <c r="F23" i="19"/>
  <c r="F22" i="19"/>
  <c r="F21" i="19"/>
  <c r="F18" i="19"/>
  <c r="F16" i="19"/>
  <c r="F14" i="19"/>
  <c r="F12" i="19"/>
  <c r="F11" i="19"/>
  <c r="F9" i="19"/>
  <c r="F7" i="19"/>
  <c r="F4" i="19"/>
  <c r="C11" i="18"/>
  <c r="D11" i="18"/>
  <c r="E11" i="18" s="1"/>
  <c r="C12" i="18"/>
  <c r="D12" i="18"/>
  <c r="E12" i="18" s="1"/>
  <c r="H12" i="18" s="1"/>
  <c r="C13" i="18"/>
  <c r="D13" i="18"/>
  <c r="E13" i="18"/>
  <c r="H13" i="18" s="1"/>
  <c r="C14" i="18"/>
  <c r="D14" i="18" s="1"/>
  <c r="E14" i="18"/>
  <c r="C15" i="18"/>
  <c r="D15" i="18"/>
  <c r="E15" i="18" s="1"/>
  <c r="H15" i="18" s="1"/>
  <c r="C16" i="18"/>
  <c r="D16" i="18"/>
  <c r="E16" i="18" s="1"/>
  <c r="H16" i="18" s="1"/>
  <c r="C17" i="18"/>
  <c r="D17" i="18"/>
  <c r="E17" i="18"/>
  <c r="C18" i="18"/>
  <c r="D18" i="18" s="1"/>
  <c r="E18" i="18"/>
  <c r="C19" i="18"/>
  <c r="D19" i="18"/>
  <c r="E19" i="18" s="1"/>
  <c r="H19" i="18" s="1"/>
  <c r="C20" i="18"/>
  <c r="D20" i="18"/>
  <c r="E20" i="18" s="1"/>
  <c r="C21" i="18"/>
  <c r="D21" i="18"/>
  <c r="E21" i="18"/>
  <c r="C22" i="18"/>
  <c r="D22" i="18" s="1"/>
  <c r="E22" i="18"/>
  <c r="H22" i="18" s="1"/>
  <c r="C23" i="18"/>
  <c r="D23" i="18"/>
  <c r="E23" i="18" s="1"/>
  <c r="H23" i="18" s="1"/>
  <c r="C24" i="18"/>
  <c r="D24" i="18"/>
  <c r="E24" i="18" s="1"/>
  <c r="C25" i="18"/>
  <c r="D25" i="18"/>
  <c r="E25" i="18"/>
  <c r="H25" i="18" s="1"/>
  <c r="C26" i="18"/>
  <c r="D26" i="18" s="1"/>
  <c r="E26" i="18"/>
  <c r="H26" i="18" s="1"/>
  <c r="C27" i="18"/>
  <c r="D27" i="18"/>
  <c r="E27" i="18" s="1"/>
  <c r="H27" i="18" s="1"/>
  <c r="C28" i="18"/>
  <c r="D28" i="18"/>
  <c r="E28" i="18" s="1"/>
  <c r="H28" i="18" s="1"/>
  <c r="C31" i="18"/>
  <c r="D31" i="18"/>
  <c r="E31" i="18" s="1"/>
  <c r="C30" i="18"/>
  <c r="D30" i="18"/>
  <c r="E30" i="18"/>
  <c r="C29" i="18"/>
  <c r="D29" i="18" s="1"/>
  <c r="E29" i="18"/>
  <c r="F29" i="18" s="1"/>
  <c r="F26" i="18"/>
  <c r="G26" i="18" s="1"/>
  <c r="H21" i="18"/>
  <c r="H18" i="18"/>
  <c r="C10" i="18"/>
  <c r="D10" i="18" s="1"/>
  <c r="E10" i="18" s="1"/>
  <c r="C9" i="18"/>
  <c r="D9" i="18"/>
  <c r="E9" i="18" s="1"/>
  <c r="C8" i="18"/>
  <c r="D8" i="18" s="1"/>
  <c r="E8" i="18" s="1"/>
  <c r="C7" i="18"/>
  <c r="D7" i="18" s="1"/>
  <c r="E7" i="18" s="1"/>
  <c r="C6" i="18"/>
  <c r="D6" i="18" s="1"/>
  <c r="E6" i="18" s="1"/>
  <c r="C5" i="18"/>
  <c r="D5" i="18"/>
  <c r="E5" i="18" s="1"/>
  <c r="C4" i="18"/>
  <c r="D4" i="18" s="1"/>
  <c r="N52" i="17"/>
  <c r="O52" i="17"/>
  <c r="N51" i="17"/>
  <c r="O51" i="17"/>
  <c r="N50" i="17"/>
  <c r="O50" i="17"/>
  <c r="N49" i="17"/>
  <c r="O49" i="17"/>
  <c r="N48" i="17"/>
  <c r="O48" i="17"/>
  <c r="N47" i="17"/>
  <c r="O47" i="17"/>
  <c r="N46" i="17"/>
  <c r="O46" i="17"/>
  <c r="N45" i="17"/>
  <c r="O45" i="17"/>
  <c r="N44" i="17"/>
  <c r="O44" i="17"/>
  <c r="N43" i="17"/>
  <c r="O43" i="17"/>
  <c r="N42" i="17"/>
  <c r="O42" i="17"/>
  <c r="N41" i="17"/>
  <c r="O41" i="17"/>
  <c r="N40" i="17"/>
  <c r="O40" i="17"/>
  <c r="N39" i="17"/>
  <c r="O39" i="17"/>
  <c r="N38" i="17"/>
  <c r="O38" i="17"/>
  <c r="G38" i="17"/>
  <c r="N37" i="17"/>
  <c r="O37" i="17" s="1"/>
  <c r="G37" i="17"/>
  <c r="N36" i="17"/>
  <c r="O36" i="17"/>
  <c r="G36" i="17"/>
  <c r="N35" i="17"/>
  <c r="O35" i="17" s="1"/>
  <c r="G35" i="17"/>
  <c r="G34" i="17"/>
  <c r="G33" i="17"/>
  <c r="D26" i="17"/>
  <c r="D25" i="17"/>
  <c r="E24" i="17"/>
  <c r="F24" i="17" s="1"/>
  <c r="D24" i="17"/>
  <c r="D23" i="17"/>
  <c r="D21" i="16"/>
  <c r="C23" i="17" s="1"/>
  <c r="D22" i="17"/>
  <c r="D20" i="16"/>
  <c r="F20" i="16" s="1"/>
  <c r="C22" i="17"/>
  <c r="E21" i="17" s="1"/>
  <c r="F21" i="17" s="1"/>
  <c r="D19" i="16"/>
  <c r="C21" i="17"/>
  <c r="D21" i="17"/>
  <c r="D20" i="17"/>
  <c r="D18" i="16"/>
  <c r="C20" i="17"/>
  <c r="D19" i="17"/>
  <c r="D17" i="16"/>
  <c r="C19" i="17"/>
  <c r="D16" i="16"/>
  <c r="D18" i="17"/>
  <c r="D17" i="17"/>
  <c r="D15" i="16"/>
  <c r="F15" i="16" s="1"/>
  <c r="C17" i="17"/>
  <c r="D16" i="17"/>
  <c r="D14" i="16"/>
  <c r="C16" i="17"/>
  <c r="D13" i="16"/>
  <c r="C15" i="17"/>
  <c r="E15" i="17" s="1"/>
  <c r="F15" i="17"/>
  <c r="D15" i="17"/>
  <c r="D14" i="17"/>
  <c r="D12" i="16"/>
  <c r="C14" i="17"/>
  <c r="D13" i="17"/>
  <c r="D11" i="16"/>
  <c r="D10" i="16"/>
  <c r="F10" i="16" s="1"/>
  <c r="C12" i="17"/>
  <c r="D12" i="17"/>
  <c r="D11" i="17"/>
  <c r="D9" i="16"/>
  <c r="D10" i="17"/>
  <c r="D8" i="16"/>
  <c r="C10" i="17"/>
  <c r="D7" i="16"/>
  <c r="C9" i="17"/>
  <c r="D9" i="17"/>
  <c r="D8" i="17"/>
  <c r="D6" i="16"/>
  <c r="C8" i="17"/>
  <c r="D7" i="17"/>
  <c r="D5" i="16"/>
  <c r="C7" i="17"/>
  <c r="D4" i="16"/>
  <c r="C6" i="17" s="1"/>
  <c r="E6" i="17"/>
  <c r="F6" i="17" s="1"/>
  <c r="D6" i="17"/>
  <c r="D24" i="16"/>
  <c r="F24" i="16"/>
  <c r="D23" i="16"/>
  <c r="F23" i="16"/>
  <c r="D22" i="16"/>
  <c r="F22" i="16"/>
  <c r="F21" i="16"/>
  <c r="F19" i="16"/>
  <c r="F18" i="16"/>
  <c r="F17" i="16"/>
  <c r="F14" i="16"/>
  <c r="F13" i="16"/>
  <c r="F12" i="16"/>
  <c r="F8" i="16"/>
  <c r="F7" i="16"/>
  <c r="F6" i="16"/>
  <c r="F5" i="16"/>
  <c r="F4" i="16"/>
  <c r="C11" i="15"/>
  <c r="D11" i="15"/>
  <c r="E11" i="15"/>
  <c r="H11" i="15" s="1"/>
  <c r="C12" i="15"/>
  <c r="D12" i="15" s="1"/>
  <c r="E12" i="15" s="1"/>
  <c r="H12" i="15" s="1"/>
  <c r="C13" i="15"/>
  <c r="D13" i="15"/>
  <c r="E13" i="15" s="1"/>
  <c r="H13" i="15" s="1"/>
  <c r="C14" i="15"/>
  <c r="D14" i="15" s="1"/>
  <c r="E14" i="15" s="1"/>
  <c r="F14" i="15" s="1"/>
  <c r="G14" i="15" s="1"/>
  <c r="C15" i="15"/>
  <c r="D15" i="15"/>
  <c r="E15" i="15" s="1"/>
  <c r="H15" i="15" s="1"/>
  <c r="C16" i="15"/>
  <c r="D16" i="15" s="1"/>
  <c r="E16" i="15"/>
  <c r="H16" i="15" s="1"/>
  <c r="C17" i="15"/>
  <c r="D17" i="15" s="1"/>
  <c r="E17" i="15" s="1"/>
  <c r="C18" i="15"/>
  <c r="D18" i="15"/>
  <c r="E18" i="15"/>
  <c r="H18" i="15" s="1"/>
  <c r="C19" i="15"/>
  <c r="D19" i="15"/>
  <c r="E19" i="15"/>
  <c r="H19" i="15" s="1"/>
  <c r="C20" i="15"/>
  <c r="D20" i="15" s="1"/>
  <c r="E20" i="15" s="1"/>
  <c r="F20" i="15" s="1"/>
  <c r="G20" i="15" s="1"/>
  <c r="C21" i="15"/>
  <c r="D21" i="15"/>
  <c r="E21" i="15" s="1"/>
  <c r="H21" i="15" s="1"/>
  <c r="C22" i="15"/>
  <c r="D22" i="15" s="1"/>
  <c r="E22" i="15" s="1"/>
  <c r="H22" i="15" s="1"/>
  <c r="C23" i="15"/>
  <c r="D23" i="15"/>
  <c r="E23" i="15" s="1"/>
  <c r="C24" i="15"/>
  <c r="D24" i="15" s="1"/>
  <c r="E24" i="15"/>
  <c r="C25" i="15"/>
  <c r="D25" i="15" s="1"/>
  <c r="E25" i="15" s="1"/>
  <c r="H25" i="15" s="1"/>
  <c r="C26" i="15"/>
  <c r="D26" i="15"/>
  <c r="E26" i="15"/>
  <c r="C27" i="15"/>
  <c r="D27" i="15"/>
  <c r="E27" i="15"/>
  <c r="C28" i="15"/>
  <c r="D28" i="15" s="1"/>
  <c r="E28" i="15" s="1"/>
  <c r="H28" i="15" s="1"/>
  <c r="C31" i="15"/>
  <c r="D31" i="15" s="1"/>
  <c r="E31" i="15" s="1"/>
  <c r="C30" i="15"/>
  <c r="D30" i="15"/>
  <c r="E30" i="15" s="1"/>
  <c r="C29" i="15"/>
  <c r="D29" i="15" s="1"/>
  <c r="E29" i="15" s="1"/>
  <c r="F29" i="15" s="1"/>
  <c r="H27" i="15"/>
  <c r="H24" i="15"/>
  <c r="H20" i="15"/>
  <c r="H17" i="15"/>
  <c r="C10" i="15"/>
  <c r="D10" i="15" s="1"/>
  <c r="E10" i="15"/>
  <c r="C9" i="15"/>
  <c r="D9" i="15" s="1"/>
  <c r="E9" i="15" s="1"/>
  <c r="C8" i="15"/>
  <c r="D8" i="15"/>
  <c r="E8" i="15"/>
  <c r="C7" i="15"/>
  <c r="D7" i="15"/>
  <c r="E7" i="15"/>
  <c r="C6" i="15"/>
  <c r="D6" i="15" s="1"/>
  <c r="E6" i="15" s="1"/>
  <c r="C5" i="15"/>
  <c r="D5" i="15"/>
  <c r="E5" i="15" s="1"/>
  <c r="C4" i="15"/>
  <c r="D4" i="15" s="1"/>
  <c r="N52" i="14"/>
  <c r="O52" i="14" s="1"/>
  <c r="N51" i="14"/>
  <c r="O51" i="14"/>
  <c r="N50" i="14"/>
  <c r="O50" i="14" s="1"/>
  <c r="N49" i="14"/>
  <c r="O49" i="14"/>
  <c r="N48" i="14"/>
  <c r="O48" i="14" s="1"/>
  <c r="N47" i="14"/>
  <c r="O47" i="14"/>
  <c r="N46" i="14"/>
  <c r="O46" i="14" s="1"/>
  <c r="N45" i="14"/>
  <c r="O45" i="14" s="1"/>
  <c r="N44" i="14"/>
  <c r="O44" i="14" s="1"/>
  <c r="N43" i="14"/>
  <c r="O43" i="14"/>
  <c r="N42" i="14"/>
  <c r="O42" i="14" s="1"/>
  <c r="N41" i="14"/>
  <c r="O41" i="14"/>
  <c r="N40" i="14"/>
  <c r="O40" i="14" s="1"/>
  <c r="N39" i="14"/>
  <c r="O39" i="14"/>
  <c r="N38" i="14"/>
  <c r="O38" i="14" s="1"/>
  <c r="G38" i="14"/>
  <c r="N37" i="14"/>
  <c r="O37" i="14"/>
  <c r="G37" i="14"/>
  <c r="N36" i="14"/>
  <c r="O36" i="14" s="1"/>
  <c r="G36" i="14"/>
  <c r="N35" i="14"/>
  <c r="O35" i="14"/>
  <c r="G35" i="14"/>
  <c r="G34" i="14"/>
  <c r="G33" i="14"/>
  <c r="D26" i="14"/>
  <c r="D24" i="13"/>
  <c r="C26" i="14"/>
  <c r="D25" i="14"/>
  <c r="D23" i="13"/>
  <c r="D22" i="13"/>
  <c r="C24" i="14"/>
  <c r="D24" i="14"/>
  <c r="D23" i="14"/>
  <c r="D21" i="13"/>
  <c r="C23" i="14" s="1"/>
  <c r="D22" i="14"/>
  <c r="D20" i="13"/>
  <c r="F20" i="13" s="1"/>
  <c r="C22" i="14"/>
  <c r="D19" i="13"/>
  <c r="C21" i="14"/>
  <c r="D21" i="14"/>
  <c r="D20" i="14"/>
  <c r="D18" i="13"/>
  <c r="C20" i="14"/>
  <c r="D19" i="14"/>
  <c r="D17" i="13"/>
  <c r="C19" i="14"/>
  <c r="D16" i="13"/>
  <c r="D18" i="14"/>
  <c r="D17" i="14"/>
  <c r="D15" i="13"/>
  <c r="C17" i="14"/>
  <c r="D16" i="14"/>
  <c r="D14" i="13"/>
  <c r="C16" i="14"/>
  <c r="D13" i="13"/>
  <c r="C15" i="14"/>
  <c r="E15" i="14" s="1"/>
  <c r="F15" i="14" s="1"/>
  <c r="D15" i="14"/>
  <c r="D14" i="14"/>
  <c r="D12" i="13"/>
  <c r="C14" i="14"/>
  <c r="D13" i="14"/>
  <c r="D11" i="13"/>
  <c r="D10" i="13"/>
  <c r="C12" i="14"/>
  <c r="D12" i="14"/>
  <c r="D11" i="14"/>
  <c r="D9" i="13"/>
  <c r="C11" i="14" s="1"/>
  <c r="D10" i="14"/>
  <c r="D8" i="13"/>
  <c r="F8" i="13" s="1"/>
  <c r="C10" i="14"/>
  <c r="E9" i="14" s="1"/>
  <c r="D7" i="13"/>
  <c r="C9" i="14"/>
  <c r="F9" i="14"/>
  <c r="D9" i="14"/>
  <c r="D8" i="14"/>
  <c r="D6" i="13"/>
  <c r="C8" i="14"/>
  <c r="D7" i="14"/>
  <c r="D5" i="13"/>
  <c r="C7" i="14"/>
  <c r="D4" i="13"/>
  <c r="D6" i="14"/>
  <c r="F24" i="13"/>
  <c r="F22" i="13"/>
  <c r="F21" i="13"/>
  <c r="F19" i="13"/>
  <c r="F18" i="13"/>
  <c r="F17" i="13"/>
  <c r="F15" i="13"/>
  <c r="F14" i="13"/>
  <c r="F13" i="13"/>
  <c r="F12" i="13"/>
  <c r="F10" i="13"/>
  <c r="F9" i="13"/>
  <c r="F7" i="13"/>
  <c r="F6" i="13"/>
  <c r="F5" i="13"/>
  <c r="C11" i="12"/>
  <c r="D11" i="12"/>
  <c r="E11" i="12"/>
  <c r="C12" i="12"/>
  <c r="D12" i="12"/>
  <c r="E12" i="12"/>
  <c r="H12" i="12" s="1"/>
  <c r="C13" i="12"/>
  <c r="D13" i="12" s="1"/>
  <c r="E13" i="12" s="1"/>
  <c r="C14" i="12"/>
  <c r="D14" i="12"/>
  <c r="E14" i="12" s="1"/>
  <c r="B34" i="12" s="1" a="1"/>
  <c r="C15" i="12"/>
  <c r="D15" i="12"/>
  <c r="E15" i="12"/>
  <c r="H15" i="12" s="1"/>
  <c r="C16" i="12"/>
  <c r="D16" i="12"/>
  <c r="E16" i="12"/>
  <c r="C17" i="12"/>
  <c r="D17" i="12" s="1"/>
  <c r="E17" i="12" s="1"/>
  <c r="F17" i="12" s="1"/>
  <c r="G17" i="12" s="1"/>
  <c r="C18" i="12"/>
  <c r="D18" i="12"/>
  <c r="E18" i="12" s="1"/>
  <c r="H18" i="12" s="1"/>
  <c r="C19" i="12"/>
  <c r="D19" i="12"/>
  <c r="E19" i="12"/>
  <c r="H19" i="12" s="1"/>
  <c r="C20" i="12"/>
  <c r="D20" i="12"/>
  <c r="E20" i="12"/>
  <c r="C21" i="12"/>
  <c r="D21" i="12" s="1"/>
  <c r="E21" i="12" s="1"/>
  <c r="H21" i="12" s="1"/>
  <c r="C22" i="12"/>
  <c r="D22" i="12"/>
  <c r="E22" i="12" s="1"/>
  <c r="H22" i="12" s="1"/>
  <c r="C23" i="12"/>
  <c r="D23" i="12"/>
  <c r="E23" i="12"/>
  <c r="C24" i="12"/>
  <c r="D24" i="12"/>
  <c r="E24" i="12"/>
  <c r="H24" i="12" s="1"/>
  <c r="C25" i="12"/>
  <c r="D25" i="12" s="1"/>
  <c r="E25" i="12" s="1"/>
  <c r="C26" i="12"/>
  <c r="D26" i="12"/>
  <c r="E26" i="12" s="1"/>
  <c r="C27" i="12"/>
  <c r="D27" i="12"/>
  <c r="E27" i="12"/>
  <c r="H27" i="12" s="1"/>
  <c r="C28" i="12"/>
  <c r="D28" i="12"/>
  <c r="E28" i="12"/>
  <c r="C31" i="12"/>
  <c r="D31" i="12"/>
  <c r="E31" i="12"/>
  <c r="C30" i="12"/>
  <c r="D30" i="12" s="1"/>
  <c r="E30" i="12" s="1"/>
  <c r="C29" i="12"/>
  <c r="D29" i="12"/>
  <c r="E29" i="12" s="1"/>
  <c r="F29" i="12" s="1"/>
  <c r="H28" i="12"/>
  <c r="H25" i="12"/>
  <c r="H20" i="12"/>
  <c r="H16" i="12"/>
  <c r="H13" i="12"/>
  <c r="C10" i="12"/>
  <c r="D10" i="12"/>
  <c r="E10" i="12"/>
  <c r="C9" i="12"/>
  <c r="D9" i="12" s="1"/>
  <c r="E9" i="12" s="1"/>
  <c r="C8" i="12"/>
  <c r="D8" i="12"/>
  <c r="E8" i="12" s="1"/>
  <c r="C7" i="12"/>
  <c r="D7" i="12"/>
  <c r="E7" i="12"/>
  <c r="C6" i="12"/>
  <c r="D6" i="12"/>
  <c r="E6" i="12"/>
  <c r="C5" i="12"/>
  <c r="D5" i="12" s="1"/>
  <c r="E5" i="12" s="1"/>
  <c r="C4" i="12"/>
  <c r="D4" i="12"/>
  <c r="N52" i="11"/>
  <c r="O52" i="11"/>
  <c r="N51" i="11"/>
  <c r="O51" i="11"/>
  <c r="N50" i="11"/>
  <c r="O50" i="11"/>
  <c r="N49" i="11"/>
  <c r="O49" i="11"/>
  <c r="N48" i="11"/>
  <c r="O48" i="11"/>
  <c r="N47" i="11"/>
  <c r="O47" i="11"/>
  <c r="N46" i="11"/>
  <c r="O46" i="11"/>
  <c r="N45" i="11"/>
  <c r="O45" i="11"/>
  <c r="N44" i="11"/>
  <c r="O44" i="11"/>
  <c r="N43" i="11"/>
  <c r="O43" i="11"/>
  <c r="N42" i="11"/>
  <c r="O42" i="11"/>
  <c r="N41" i="11"/>
  <c r="O41" i="11"/>
  <c r="N40" i="11"/>
  <c r="O40" i="11"/>
  <c r="N39" i="11"/>
  <c r="O39" i="11"/>
  <c r="N38" i="11"/>
  <c r="O38" i="11"/>
  <c r="G38" i="11"/>
  <c r="N37" i="11"/>
  <c r="O37" i="11" s="1"/>
  <c r="G37" i="11"/>
  <c r="N36" i="11"/>
  <c r="O36" i="11"/>
  <c r="G36" i="11"/>
  <c r="N35" i="11"/>
  <c r="O35" i="11"/>
  <c r="G35" i="11"/>
  <c r="G34" i="11"/>
  <c r="G33" i="11"/>
  <c r="D24" i="10"/>
  <c r="C26" i="11" s="1"/>
  <c r="D25" i="11"/>
  <c r="D23" i="10"/>
  <c r="C25" i="11"/>
  <c r="E24" i="11" s="1"/>
  <c r="F24" i="11" s="1"/>
  <c r="D22" i="10"/>
  <c r="C24" i="11"/>
  <c r="D24" i="11"/>
  <c r="D23" i="11"/>
  <c r="D21" i="10"/>
  <c r="C23" i="11"/>
  <c r="D22" i="11"/>
  <c r="D20" i="10"/>
  <c r="C22" i="11"/>
  <c r="D19" i="10"/>
  <c r="D21" i="11"/>
  <c r="D20" i="11"/>
  <c r="D18" i="10"/>
  <c r="C20" i="11"/>
  <c r="D19" i="11"/>
  <c r="D17" i="10"/>
  <c r="C19" i="11"/>
  <c r="D16" i="10"/>
  <c r="C18" i="11"/>
  <c r="E18" i="11" s="1"/>
  <c r="F18" i="11" s="1"/>
  <c r="D18" i="11"/>
  <c r="D17" i="11"/>
  <c r="D15" i="10"/>
  <c r="C17" i="11"/>
  <c r="D16" i="11"/>
  <c r="D14" i="10"/>
  <c r="D13" i="10"/>
  <c r="C15" i="11"/>
  <c r="D15" i="11"/>
  <c r="D14" i="11"/>
  <c r="D12" i="10"/>
  <c r="C14" i="11" s="1"/>
  <c r="D13" i="11"/>
  <c r="D11" i="10"/>
  <c r="F11" i="10" s="1"/>
  <c r="C13" i="11"/>
  <c r="D10" i="10"/>
  <c r="C12" i="11"/>
  <c r="D12" i="11"/>
  <c r="D11" i="11"/>
  <c r="D9" i="10"/>
  <c r="C11" i="11"/>
  <c r="D10" i="11"/>
  <c r="D8" i="10"/>
  <c r="C10" i="11"/>
  <c r="D7" i="10"/>
  <c r="D9" i="11"/>
  <c r="D8" i="11"/>
  <c r="D6" i="10"/>
  <c r="C8" i="11" s="1"/>
  <c r="D7" i="11"/>
  <c r="D5" i="10"/>
  <c r="C7" i="11"/>
  <c r="D4" i="10"/>
  <c r="C6" i="11"/>
  <c r="D6" i="11"/>
  <c r="F24" i="10"/>
  <c r="F23" i="10"/>
  <c r="F22" i="10"/>
  <c r="F21" i="10"/>
  <c r="F20" i="10"/>
  <c r="F18" i="10"/>
  <c r="F17" i="10"/>
  <c r="F16" i="10"/>
  <c r="F15" i="10"/>
  <c r="F13" i="10"/>
  <c r="F10" i="10"/>
  <c r="F9" i="10"/>
  <c r="F8" i="10"/>
  <c r="F6" i="10"/>
  <c r="F5" i="10"/>
  <c r="F4" i="10"/>
  <c r="G33" i="2"/>
  <c r="G34" i="2"/>
  <c r="G35" i="2"/>
  <c r="G36" i="2"/>
  <c r="G37" i="2"/>
  <c r="G38" i="2"/>
  <c r="C11" i="6"/>
  <c r="D11" i="6" s="1"/>
  <c r="E11" i="6" s="1"/>
  <c r="C12" i="6"/>
  <c r="D12" i="6"/>
  <c r="E12" i="6" s="1"/>
  <c r="H12" i="6" s="1"/>
  <c r="C13" i="6"/>
  <c r="D13" i="6"/>
  <c r="E13" i="6"/>
  <c r="H13" i="6" s="1"/>
  <c r="C14" i="6"/>
  <c r="D14" i="6"/>
  <c r="E14" i="6"/>
  <c r="H14" i="6" s="1"/>
  <c r="C15" i="6"/>
  <c r="D15" i="6"/>
  <c r="E15" i="6"/>
  <c r="H15" i="6" s="1"/>
  <c r="C16" i="6"/>
  <c r="D16" i="6" s="1"/>
  <c r="E16" i="6" s="1"/>
  <c r="H16" i="6" s="1"/>
  <c r="C17" i="6"/>
  <c r="D17" i="6"/>
  <c r="E17" i="6" s="1"/>
  <c r="H17" i="6" s="1"/>
  <c r="C18" i="6"/>
  <c r="D18" i="6"/>
  <c r="E18" i="6"/>
  <c r="H18" i="6" s="1"/>
  <c r="C19" i="6"/>
  <c r="D19" i="6"/>
  <c r="E19" i="6"/>
  <c r="H19" i="6" s="1"/>
  <c r="C20" i="6"/>
  <c r="D20" i="6" s="1"/>
  <c r="E20" i="6" s="1"/>
  <c r="H20" i="6" s="1"/>
  <c r="C21" i="6"/>
  <c r="D21" i="6"/>
  <c r="E21" i="6" s="1"/>
  <c r="C22" i="6"/>
  <c r="D22" i="6"/>
  <c r="E22" i="6"/>
  <c r="H22" i="6" s="1"/>
  <c r="C23" i="6"/>
  <c r="D23" i="6"/>
  <c r="E23" i="6"/>
  <c r="H23" i="6" s="1"/>
  <c r="C24" i="6"/>
  <c r="D24" i="6" s="1"/>
  <c r="E24" i="6" s="1"/>
  <c r="C25" i="6"/>
  <c r="D25" i="6"/>
  <c r="E25" i="6" s="1"/>
  <c r="C26" i="6"/>
  <c r="D26" i="6"/>
  <c r="E26" i="6"/>
  <c r="H26" i="6" s="1"/>
  <c r="C27" i="6"/>
  <c r="D27" i="6"/>
  <c r="E27" i="6"/>
  <c r="H27" i="6" s="1"/>
  <c r="C28" i="6"/>
  <c r="D28" i="6" s="1"/>
  <c r="E28" i="6" s="1"/>
  <c r="H28" i="6" s="1"/>
  <c r="H13" i="9"/>
  <c r="H17" i="9"/>
  <c r="H25" i="9"/>
  <c r="H11" i="9"/>
  <c r="H21" i="6"/>
  <c r="H25" i="6"/>
  <c r="C31" i="9"/>
  <c r="D31" i="9" s="1"/>
  <c r="E31" i="9" s="1"/>
  <c r="C30" i="9"/>
  <c r="D30" i="9"/>
  <c r="E30" i="9" s="1"/>
  <c r="C29" i="9"/>
  <c r="D29" i="9"/>
  <c r="E29" i="9"/>
  <c r="C28" i="9"/>
  <c r="D28" i="9"/>
  <c r="E28" i="9"/>
  <c r="H28" i="9" s="1"/>
  <c r="C27" i="9"/>
  <c r="D27" i="9"/>
  <c r="E27" i="9"/>
  <c r="H27" i="9" s="1"/>
  <c r="C26" i="9"/>
  <c r="D26" i="9" s="1"/>
  <c r="E26" i="9" s="1"/>
  <c r="C25" i="9"/>
  <c r="D25" i="9"/>
  <c r="E25" i="9"/>
  <c r="C24" i="9"/>
  <c r="D24" i="9" s="1"/>
  <c r="E24" i="9" s="1"/>
  <c r="H24" i="9" s="1"/>
  <c r="C23" i="9"/>
  <c r="D23" i="9"/>
  <c r="E23" i="9" s="1"/>
  <c r="C22" i="9"/>
  <c r="D22" i="9" s="1"/>
  <c r="E22" i="9" s="1"/>
  <c r="H22" i="9" s="1"/>
  <c r="C21" i="9"/>
  <c r="D21" i="9"/>
  <c r="E21" i="9" s="1"/>
  <c r="H21" i="9" s="1"/>
  <c r="C20" i="9"/>
  <c r="D20" i="9"/>
  <c r="E20" i="9"/>
  <c r="C19" i="9"/>
  <c r="D19" i="9"/>
  <c r="E19" i="9" s="1"/>
  <c r="H19" i="9" s="1"/>
  <c r="C18" i="9"/>
  <c r="D18" i="9"/>
  <c r="E18" i="9"/>
  <c r="H18" i="9" s="1"/>
  <c r="C17" i="9"/>
  <c r="D17" i="9"/>
  <c r="E17" i="9"/>
  <c r="F17" i="9"/>
  <c r="G17" i="9" s="1"/>
  <c r="C16" i="9"/>
  <c r="D16" i="9"/>
  <c r="E16" i="9"/>
  <c r="H16" i="9" s="1"/>
  <c r="C15" i="9"/>
  <c r="D15" i="9"/>
  <c r="E15" i="9"/>
  <c r="H15" i="9" s="1"/>
  <c r="C14" i="9"/>
  <c r="D14" i="9" s="1"/>
  <c r="E14" i="9" s="1"/>
  <c r="C13" i="9"/>
  <c r="D13" i="9"/>
  <c r="E13" i="9"/>
  <c r="C12" i="9"/>
  <c r="D12" i="9" s="1"/>
  <c r="E12" i="9" s="1"/>
  <c r="H12" i="9" s="1"/>
  <c r="C11" i="9"/>
  <c r="D11" i="9"/>
  <c r="E11" i="9" s="1"/>
  <c r="C10" i="9"/>
  <c r="D10" i="9" s="1"/>
  <c r="E10" i="9" s="1"/>
  <c r="C9" i="9"/>
  <c r="D9" i="9"/>
  <c r="E9" i="9" s="1"/>
  <c r="C8" i="9"/>
  <c r="D8" i="9"/>
  <c r="E8" i="9"/>
  <c r="C7" i="9"/>
  <c r="D7" i="9"/>
  <c r="E7" i="9"/>
  <c r="C6" i="9"/>
  <c r="D6" i="9" s="1"/>
  <c r="E6" i="9" s="1"/>
  <c r="C5" i="9"/>
  <c r="D5" i="9"/>
  <c r="E5" i="9" s="1"/>
  <c r="C4" i="9"/>
  <c r="D4" i="9"/>
  <c r="N52" i="8"/>
  <c r="O52" i="8" s="1"/>
  <c r="N51" i="8"/>
  <c r="O51" i="8"/>
  <c r="N50" i="8"/>
  <c r="O50" i="8" s="1"/>
  <c r="N49" i="8"/>
  <c r="O49" i="8"/>
  <c r="N48" i="8"/>
  <c r="O48" i="8" s="1"/>
  <c r="N47" i="8"/>
  <c r="O47" i="8"/>
  <c r="N46" i="8"/>
  <c r="O46" i="8" s="1"/>
  <c r="N45" i="8"/>
  <c r="O45" i="8"/>
  <c r="N44" i="8"/>
  <c r="O44" i="8" s="1"/>
  <c r="N43" i="8"/>
  <c r="O43" i="8"/>
  <c r="N42" i="8"/>
  <c r="O42" i="8" s="1"/>
  <c r="N41" i="8"/>
  <c r="O41" i="8"/>
  <c r="N40" i="8"/>
  <c r="O40" i="8" s="1"/>
  <c r="N39" i="8"/>
  <c r="O39" i="8"/>
  <c r="N38" i="8"/>
  <c r="O38" i="8" s="1"/>
  <c r="G38" i="8"/>
  <c r="N37" i="8"/>
  <c r="O37" i="8" s="1"/>
  <c r="G37" i="8"/>
  <c r="N36" i="8"/>
  <c r="O36" i="8"/>
  <c r="G36" i="8"/>
  <c r="N35" i="8"/>
  <c r="O35" i="8"/>
  <c r="G35" i="8"/>
  <c r="G34" i="8"/>
  <c r="G33" i="8"/>
  <c r="G32" i="8"/>
  <c r="D26" i="8"/>
  <c r="D24" i="7"/>
  <c r="C26" i="8" s="1"/>
  <c r="D25" i="8"/>
  <c r="D23" i="7"/>
  <c r="F23" i="7" s="1"/>
  <c r="C25" i="8"/>
  <c r="E24" i="8" s="1"/>
  <c r="F24" i="8" s="1"/>
  <c r="D22" i="7"/>
  <c r="C24" i="8"/>
  <c r="D24" i="8"/>
  <c r="D23" i="8"/>
  <c r="D21" i="7"/>
  <c r="C23" i="8"/>
  <c r="D22" i="8"/>
  <c r="D20" i="7"/>
  <c r="C22" i="8"/>
  <c r="D19" i="7"/>
  <c r="D21" i="8"/>
  <c r="D20" i="8"/>
  <c r="D18" i="7"/>
  <c r="C20" i="8"/>
  <c r="D19" i="8"/>
  <c r="D17" i="7"/>
  <c r="C19" i="8"/>
  <c r="D16" i="7"/>
  <c r="C18" i="8" s="1"/>
  <c r="E18" i="8" s="1"/>
  <c r="F18" i="8" s="1"/>
  <c r="D18" i="8"/>
  <c r="D17" i="8"/>
  <c r="D15" i="7"/>
  <c r="C17" i="8"/>
  <c r="D16" i="8"/>
  <c r="D14" i="7"/>
  <c r="D13" i="7"/>
  <c r="C15" i="8"/>
  <c r="D15" i="8"/>
  <c r="D14" i="8"/>
  <c r="D12" i="7"/>
  <c r="C14" i="8" s="1"/>
  <c r="D13" i="8"/>
  <c r="D11" i="7"/>
  <c r="F11" i="7" s="1"/>
  <c r="D10" i="7"/>
  <c r="C12" i="8"/>
  <c r="D12" i="8"/>
  <c r="D11" i="8"/>
  <c r="D9" i="7"/>
  <c r="C11" i="8" s="1"/>
  <c r="D10" i="8"/>
  <c r="D8" i="7"/>
  <c r="C10" i="8"/>
  <c r="D7" i="7"/>
  <c r="D9" i="8"/>
  <c r="D8" i="8"/>
  <c r="D6" i="7"/>
  <c r="C8" i="8"/>
  <c r="D7" i="8"/>
  <c r="D5" i="7"/>
  <c r="C7" i="8"/>
  <c r="D4" i="7"/>
  <c r="C6" i="8"/>
  <c r="E6" i="8" s="1"/>
  <c r="F6" i="8" s="1"/>
  <c r="D6" i="8"/>
  <c r="F24" i="7"/>
  <c r="F22" i="7"/>
  <c r="F21" i="7"/>
  <c r="F20" i="7"/>
  <c r="F18" i="7"/>
  <c r="F17" i="7"/>
  <c r="F15" i="7"/>
  <c r="F13" i="7"/>
  <c r="F12" i="7"/>
  <c r="F10" i="7"/>
  <c r="F9" i="7"/>
  <c r="F8" i="7"/>
  <c r="F6" i="7"/>
  <c r="F5" i="7"/>
  <c r="F4" i="7"/>
  <c r="C31" i="6"/>
  <c r="D31" i="6"/>
  <c r="E31" i="6"/>
  <c r="C30" i="6"/>
  <c r="D30" i="6" s="1"/>
  <c r="E30" i="6" s="1"/>
  <c r="C29" i="6"/>
  <c r="D29" i="6" s="1"/>
  <c r="E29" i="6" s="1"/>
  <c r="F29" i="6" s="1"/>
  <c r="F26" i="6"/>
  <c r="G26" i="6"/>
  <c r="F14" i="6"/>
  <c r="G14" i="6"/>
  <c r="C10" i="6"/>
  <c r="D10" i="6"/>
  <c r="E10" i="6"/>
  <c r="C9" i="6"/>
  <c r="D9" i="6"/>
  <c r="E9" i="6"/>
  <c r="C8" i="6"/>
  <c r="D8" i="6" s="1"/>
  <c r="E8" i="6" s="1"/>
  <c r="C7" i="6"/>
  <c r="D7" i="6" s="1"/>
  <c r="E7" i="6" s="1"/>
  <c r="C6" i="6"/>
  <c r="D6" i="6"/>
  <c r="E6" i="6"/>
  <c r="C5" i="6"/>
  <c r="D5" i="6"/>
  <c r="E5" i="6"/>
  <c r="C4" i="6"/>
  <c r="D4" i="6" s="1"/>
  <c r="N52" i="5"/>
  <c r="O52" i="5"/>
  <c r="N51" i="5"/>
  <c r="O51" i="5" s="1"/>
  <c r="N50" i="5"/>
  <c r="O50" i="5"/>
  <c r="N49" i="5"/>
  <c r="O49" i="5" s="1"/>
  <c r="N48" i="5"/>
  <c r="O48" i="5"/>
  <c r="N47" i="5"/>
  <c r="O47" i="5" s="1"/>
  <c r="N46" i="5"/>
  <c r="O46" i="5"/>
  <c r="N45" i="5"/>
  <c r="O45" i="5" s="1"/>
  <c r="N44" i="5"/>
  <c r="O44" i="5"/>
  <c r="N43" i="5"/>
  <c r="O43" i="5" s="1"/>
  <c r="N42" i="5"/>
  <c r="O42" i="5"/>
  <c r="N41" i="5"/>
  <c r="O41" i="5" s="1"/>
  <c r="N40" i="5"/>
  <c r="O40" i="5"/>
  <c r="N39" i="5"/>
  <c r="O39" i="5" s="1"/>
  <c r="N38" i="5"/>
  <c r="O38" i="5"/>
  <c r="G38" i="5"/>
  <c r="N37" i="5"/>
  <c r="O37" i="5"/>
  <c r="G37" i="5"/>
  <c r="N36" i="5"/>
  <c r="O36" i="5" s="1"/>
  <c r="G36" i="5"/>
  <c r="N35" i="5"/>
  <c r="O35" i="5"/>
  <c r="G35" i="5"/>
  <c r="G34" i="5"/>
  <c r="G33" i="5"/>
  <c r="G32" i="5"/>
  <c r="D26" i="5"/>
  <c r="D24" i="4"/>
  <c r="C26" i="5"/>
  <c r="D25" i="5"/>
  <c r="D23" i="4"/>
  <c r="C25" i="5"/>
  <c r="D22" i="4"/>
  <c r="C24" i="5"/>
  <c r="E24" i="5" s="1"/>
  <c r="D24" i="5"/>
  <c r="D23" i="5"/>
  <c r="D21" i="4"/>
  <c r="C23" i="5" s="1"/>
  <c r="D22" i="5"/>
  <c r="D20" i="4"/>
  <c r="C22" i="5" s="1"/>
  <c r="E21" i="5" s="1"/>
  <c r="F21" i="5" s="1"/>
  <c r="D19" i="4"/>
  <c r="C21" i="5"/>
  <c r="D21" i="5"/>
  <c r="D20" i="5"/>
  <c r="D18" i="4"/>
  <c r="C20" i="5" s="1"/>
  <c r="D19" i="5"/>
  <c r="D17" i="4"/>
  <c r="C19" i="5"/>
  <c r="D16" i="4"/>
  <c r="C18" i="5" s="1"/>
  <c r="E18" i="5" s="1"/>
  <c r="F18" i="5" s="1"/>
  <c r="D18" i="5"/>
  <c r="D17" i="5"/>
  <c r="D15" i="4"/>
  <c r="C17" i="5"/>
  <c r="D16" i="5"/>
  <c r="D14" i="4"/>
  <c r="C16" i="5"/>
  <c r="D13" i="4"/>
  <c r="C15" i="5" s="1"/>
  <c r="E15" i="5" s="1"/>
  <c r="F15" i="5" s="1"/>
  <c r="D15" i="5"/>
  <c r="D14" i="5"/>
  <c r="D12" i="4"/>
  <c r="C14" i="5"/>
  <c r="D13" i="5"/>
  <c r="D11" i="4"/>
  <c r="C13" i="5" s="1"/>
  <c r="D10" i="4"/>
  <c r="C12" i="5"/>
  <c r="E12" i="5" s="1"/>
  <c r="F12" i="5" s="1"/>
  <c r="D12" i="5"/>
  <c r="D11" i="5"/>
  <c r="D9" i="4"/>
  <c r="C11" i="5" s="1"/>
  <c r="D10" i="5"/>
  <c r="D8" i="4"/>
  <c r="C10" i="5" s="1"/>
  <c r="D7" i="4"/>
  <c r="C9" i="5"/>
  <c r="D9" i="5"/>
  <c r="D8" i="5"/>
  <c r="D6" i="4"/>
  <c r="C8" i="5" s="1"/>
  <c r="D7" i="5"/>
  <c r="D5" i="4"/>
  <c r="C7" i="5"/>
  <c r="D4" i="4"/>
  <c r="C6" i="5" s="1"/>
  <c r="E6" i="5" s="1"/>
  <c r="F6" i="5" s="1"/>
  <c r="D6" i="5"/>
  <c r="F24" i="4"/>
  <c r="F23" i="4"/>
  <c r="F22" i="4"/>
  <c r="F21" i="4"/>
  <c r="F19" i="4"/>
  <c r="F18" i="4"/>
  <c r="F17" i="4"/>
  <c r="F16" i="4"/>
  <c r="F15" i="4"/>
  <c r="F14" i="4"/>
  <c r="F12" i="4"/>
  <c r="F11" i="4"/>
  <c r="F10" i="4"/>
  <c r="F9" i="4"/>
  <c r="F7" i="4"/>
  <c r="F6" i="4"/>
  <c r="F5" i="4"/>
  <c r="C31" i="3"/>
  <c r="D31" i="3"/>
  <c r="E31" i="3" s="1"/>
  <c r="C30" i="3"/>
  <c r="D30" i="3"/>
  <c r="E30" i="3"/>
  <c r="C29" i="3"/>
  <c r="D29" i="3" s="1"/>
  <c r="E29" i="3" s="1"/>
  <c r="F29" i="3" s="1"/>
  <c r="C28" i="3"/>
  <c r="D28" i="3" s="1"/>
  <c r="E28" i="3" s="1"/>
  <c r="H28" i="3" s="1"/>
  <c r="C27" i="3"/>
  <c r="D27" i="3" s="1"/>
  <c r="E27" i="3" s="1"/>
  <c r="H27" i="3" s="1"/>
  <c r="C26" i="3"/>
  <c r="D26" i="3"/>
  <c r="E26" i="3" s="1"/>
  <c r="C25" i="3"/>
  <c r="D25" i="3" s="1"/>
  <c r="E25" i="3" s="1"/>
  <c r="H25" i="3" s="1"/>
  <c r="C24" i="3"/>
  <c r="D24" i="3"/>
  <c r="E24" i="3" s="1"/>
  <c r="H24" i="3" s="1"/>
  <c r="C23" i="3"/>
  <c r="D23" i="3"/>
  <c r="E23" i="3"/>
  <c r="C22" i="3"/>
  <c r="D22" i="3"/>
  <c r="E22" i="3" s="1"/>
  <c r="H22" i="3" s="1"/>
  <c r="C21" i="3"/>
  <c r="D21" i="3"/>
  <c r="E21" i="3"/>
  <c r="H21" i="3" s="1"/>
  <c r="C20" i="3"/>
  <c r="D20" i="3" s="1"/>
  <c r="E20" i="3" s="1"/>
  <c r="C19" i="3"/>
  <c r="D19" i="3"/>
  <c r="E19" i="3"/>
  <c r="H19" i="3" s="1"/>
  <c r="C18" i="3"/>
  <c r="D18" i="3" s="1"/>
  <c r="E18" i="3" s="1"/>
  <c r="H18" i="3" s="1"/>
  <c r="C17" i="3"/>
  <c r="D17" i="3" s="1"/>
  <c r="E17" i="3" s="1"/>
  <c r="C16" i="3"/>
  <c r="D16" i="3" s="1"/>
  <c r="E16" i="3" s="1"/>
  <c r="H16" i="3" s="1"/>
  <c r="C15" i="3"/>
  <c r="D15" i="3" s="1"/>
  <c r="E15" i="3" s="1"/>
  <c r="H15" i="3" s="1"/>
  <c r="C14" i="3"/>
  <c r="D14" i="3"/>
  <c r="E14" i="3" s="1"/>
  <c r="C13" i="3"/>
  <c r="D13" i="3" s="1"/>
  <c r="E13" i="3" s="1"/>
  <c r="H13" i="3" s="1"/>
  <c r="C12" i="3"/>
  <c r="D12" i="3"/>
  <c r="E12" i="3" s="1"/>
  <c r="H12" i="3" s="1"/>
  <c r="C11" i="3"/>
  <c r="D11" i="3"/>
  <c r="E11" i="3"/>
  <c r="H11" i="3" s="1"/>
  <c r="C10" i="3"/>
  <c r="D10" i="3"/>
  <c r="E10" i="3" s="1"/>
  <c r="C9" i="3"/>
  <c r="D9" i="3"/>
  <c r="E9" i="3"/>
  <c r="C8" i="3"/>
  <c r="D8" i="3" s="1"/>
  <c r="E8" i="3" s="1"/>
  <c r="C7" i="3"/>
  <c r="D7" i="3" s="1"/>
  <c r="E7" i="3" s="1"/>
  <c r="C6" i="3"/>
  <c r="D6" i="3"/>
  <c r="E6" i="3" s="1"/>
  <c r="C5" i="3"/>
  <c r="D5" i="3"/>
  <c r="E5" i="3"/>
  <c r="C4" i="3"/>
  <c r="D4" i="3" s="1"/>
  <c r="N52" i="2"/>
  <c r="O52" i="2"/>
  <c r="N51" i="2"/>
  <c r="O51" i="2" s="1"/>
  <c r="N50" i="2"/>
  <c r="O50" i="2"/>
  <c r="N49" i="2"/>
  <c r="O49" i="2" s="1"/>
  <c r="N48" i="2"/>
  <c r="O48" i="2"/>
  <c r="N47" i="2"/>
  <c r="O47" i="2" s="1"/>
  <c r="N46" i="2"/>
  <c r="O46" i="2"/>
  <c r="N45" i="2"/>
  <c r="O45" i="2" s="1"/>
  <c r="N44" i="2"/>
  <c r="O44" i="2"/>
  <c r="N43" i="2"/>
  <c r="O43" i="2" s="1"/>
  <c r="N42" i="2"/>
  <c r="O42" i="2"/>
  <c r="N41" i="2"/>
  <c r="O41" i="2" s="1"/>
  <c r="N40" i="2"/>
  <c r="O40" i="2"/>
  <c r="N39" i="2"/>
  <c r="O39" i="2" s="1"/>
  <c r="N38" i="2"/>
  <c r="O38" i="2"/>
  <c r="N37" i="2"/>
  <c r="O37" i="2" s="1"/>
  <c r="N36" i="2"/>
  <c r="O36" i="2"/>
  <c r="N35" i="2"/>
  <c r="O35" i="2" s="1"/>
  <c r="G32" i="2"/>
  <c r="D26" i="2"/>
  <c r="D24" i="1"/>
  <c r="C26" i="2" s="1"/>
  <c r="D25" i="2"/>
  <c r="D23" i="1"/>
  <c r="C25" i="2" s="1"/>
  <c r="E24" i="2" s="1"/>
  <c r="F24" i="2" s="1"/>
  <c r="D22" i="1"/>
  <c r="C24" i="2"/>
  <c r="D24" i="2"/>
  <c r="D23" i="2"/>
  <c r="D21" i="1"/>
  <c r="C23" i="2" s="1"/>
  <c r="D22" i="2"/>
  <c r="D20" i="1"/>
  <c r="C22" i="2"/>
  <c r="D19" i="1"/>
  <c r="C21" i="2" s="1"/>
  <c r="E21" i="2" s="1"/>
  <c r="F21" i="2" s="1"/>
  <c r="D21" i="2"/>
  <c r="D20" i="2"/>
  <c r="D18" i="1"/>
  <c r="C20" i="2"/>
  <c r="D19" i="2"/>
  <c r="D17" i="1"/>
  <c r="C19" i="2"/>
  <c r="D16" i="1"/>
  <c r="C18" i="2" s="1"/>
  <c r="E18" i="2" s="1"/>
  <c r="F18" i="2" s="1"/>
  <c r="D18" i="2"/>
  <c r="D17" i="2"/>
  <c r="D15" i="1"/>
  <c r="C17" i="2"/>
  <c r="D16" i="2"/>
  <c r="D14" i="1"/>
  <c r="C16" i="2"/>
  <c r="D13" i="1"/>
  <c r="C15" i="2"/>
  <c r="E15" i="2" s="1"/>
  <c r="F15" i="2" s="1"/>
  <c r="D15" i="2"/>
  <c r="D14" i="2"/>
  <c r="D12" i="1"/>
  <c r="C14" i="2" s="1"/>
  <c r="D13" i="2"/>
  <c r="D11" i="1"/>
  <c r="C13" i="2" s="1"/>
  <c r="D10" i="1"/>
  <c r="C12" i="2"/>
  <c r="D12" i="2"/>
  <c r="D11" i="2"/>
  <c r="D9" i="1"/>
  <c r="C11" i="2" s="1"/>
  <c r="D10" i="2"/>
  <c r="D8" i="1"/>
  <c r="C10" i="2"/>
  <c r="E9" i="2" s="1"/>
  <c r="F9" i="2" s="1"/>
  <c r="D7" i="1"/>
  <c r="C9" i="2"/>
  <c r="D9" i="2"/>
  <c r="D8" i="2"/>
  <c r="D6" i="1"/>
  <c r="C8" i="2"/>
  <c r="D7" i="2"/>
  <c r="D5" i="1"/>
  <c r="C7" i="2"/>
  <c r="D4" i="1"/>
  <c r="C6" i="2" s="1"/>
  <c r="E6" i="2" s="1"/>
  <c r="F6" i="2" s="1"/>
  <c r="D6" i="2"/>
  <c r="F24" i="1"/>
  <c r="F22" i="1"/>
  <c r="F20" i="1"/>
  <c r="F19" i="1"/>
  <c r="F18" i="1"/>
  <c r="F17" i="1"/>
  <c r="F16" i="1"/>
  <c r="F15" i="1"/>
  <c r="F14" i="1"/>
  <c r="F13" i="1"/>
  <c r="F12" i="1"/>
  <c r="F10" i="1"/>
  <c r="F8" i="1"/>
  <c r="F7" i="1"/>
  <c r="F6" i="1"/>
  <c r="F5" i="1"/>
  <c r="F4" i="1"/>
  <c r="B37" i="30" l="1"/>
  <c r="B35" i="30"/>
  <c r="C35" i="30"/>
  <c r="C38" i="30"/>
  <c r="C36" i="30"/>
  <c r="C34" i="30"/>
  <c r="C37" i="30"/>
  <c r="B38" i="30"/>
  <c r="B36" i="30"/>
  <c r="B34" i="30"/>
  <c r="B41" i="30" s="1"/>
  <c r="B42" i="30" s="1"/>
  <c r="C37" i="54"/>
  <c r="C35" i="54"/>
  <c r="B37" i="54"/>
  <c r="B35" i="54"/>
  <c r="C38" i="54"/>
  <c r="C36" i="54"/>
  <c r="C34" i="54"/>
  <c r="B38" i="54"/>
  <c r="B36" i="54"/>
  <c r="B34" i="54"/>
  <c r="C37" i="45"/>
  <c r="C35" i="45"/>
  <c r="B37" i="45"/>
  <c r="B35" i="45"/>
  <c r="C38" i="45"/>
  <c r="C36" i="45"/>
  <c r="C34" i="45"/>
  <c r="B34" i="45"/>
  <c r="B41" i="45" s="1"/>
  <c r="B42" i="45" s="1"/>
  <c r="B38" i="45"/>
  <c r="B36" i="45"/>
  <c r="H4" i="30"/>
  <c r="G11" i="30"/>
  <c r="H4" i="48"/>
  <c r="G11" i="48"/>
  <c r="F24" i="53"/>
  <c r="C37" i="39"/>
  <c r="C35" i="39"/>
  <c r="B37" i="39"/>
  <c r="B35" i="39"/>
  <c r="C38" i="39"/>
  <c r="C36" i="39"/>
  <c r="C34" i="39"/>
  <c r="B38" i="39"/>
  <c r="B36" i="39"/>
  <c r="B34" i="39"/>
  <c r="B41" i="39" s="1"/>
  <c r="B38" i="36"/>
  <c r="B36" i="36"/>
  <c r="B34" i="36"/>
  <c r="C37" i="36"/>
  <c r="C35" i="36"/>
  <c r="B37" i="36"/>
  <c r="B35" i="36"/>
  <c r="C38" i="36"/>
  <c r="C36" i="36"/>
  <c r="C34" i="36"/>
  <c r="B38" i="33"/>
  <c r="B36" i="33"/>
  <c r="B34" i="33"/>
  <c r="C37" i="33"/>
  <c r="C35" i="33"/>
  <c r="C38" i="33"/>
  <c r="C34" i="33"/>
  <c r="B37" i="33"/>
  <c r="B35" i="33"/>
  <c r="C36" i="33"/>
  <c r="C37" i="51"/>
  <c r="C35" i="51"/>
  <c r="B37" i="51"/>
  <c r="B35" i="51"/>
  <c r="C38" i="51"/>
  <c r="C36" i="51"/>
  <c r="C34" i="51"/>
  <c r="B38" i="51"/>
  <c r="B36" i="51"/>
  <c r="B34" i="51"/>
  <c r="E15" i="50"/>
  <c r="F15" i="50" s="1"/>
  <c r="B37" i="48"/>
  <c r="B35" i="48"/>
  <c r="C38" i="48"/>
  <c r="C36" i="48"/>
  <c r="C34" i="48"/>
  <c r="B38" i="48"/>
  <c r="B36" i="48"/>
  <c r="B34" i="48"/>
  <c r="B41" i="48" s="1"/>
  <c r="B42" i="48" s="1"/>
  <c r="C37" i="48"/>
  <c r="C35" i="48"/>
  <c r="C38" i="42"/>
  <c r="C36" i="42"/>
  <c r="C34" i="42"/>
  <c r="B38" i="42"/>
  <c r="B36" i="42"/>
  <c r="B34" i="42"/>
  <c r="B41" i="42" s="1"/>
  <c r="B42" i="42" s="1"/>
  <c r="B37" i="42"/>
  <c r="C35" i="42"/>
  <c r="B35" i="42"/>
  <c r="C37" i="42"/>
  <c r="H5" i="36"/>
  <c r="G11" i="36"/>
  <c r="H4" i="39"/>
  <c r="G11" i="39"/>
  <c r="I5" i="33"/>
  <c r="G11" i="33"/>
  <c r="H17" i="3"/>
  <c r="F17" i="3"/>
  <c r="G17" i="3" s="1"/>
  <c r="H20" i="3"/>
  <c r="F20" i="3"/>
  <c r="G20" i="3" s="1"/>
  <c r="H26" i="3"/>
  <c r="F26" i="3"/>
  <c r="G26" i="3" s="1"/>
  <c r="B34" i="12"/>
  <c r="B41" i="12" s="1"/>
  <c r="B42" i="12" s="1"/>
  <c r="C36" i="12"/>
  <c r="B35" i="12"/>
  <c r="C38" i="12"/>
  <c r="B36" i="12"/>
  <c r="B38" i="12"/>
  <c r="C35" i="12"/>
  <c r="B37" i="12"/>
  <c r="C34" i="12"/>
  <c r="C37" i="12"/>
  <c r="H14" i="3"/>
  <c r="F14" i="3"/>
  <c r="G14" i="3" s="1"/>
  <c r="E12" i="2"/>
  <c r="F12" i="2" s="1"/>
  <c r="E9" i="5"/>
  <c r="F9" i="5" s="1"/>
  <c r="F23" i="3"/>
  <c r="G23" i="3" s="1"/>
  <c r="C21" i="8"/>
  <c r="E21" i="8" s="1"/>
  <c r="F21" i="8" s="1"/>
  <c r="F19" i="7"/>
  <c r="H23" i="3"/>
  <c r="H26" i="12"/>
  <c r="F26" i="12"/>
  <c r="G26" i="12" s="1"/>
  <c r="C13" i="14"/>
  <c r="E12" i="14" s="1"/>
  <c r="F12" i="14" s="1"/>
  <c r="F11" i="13"/>
  <c r="F21" i="1"/>
  <c r="F16" i="7"/>
  <c r="H14" i="9"/>
  <c r="F14" i="9"/>
  <c r="G14" i="9" s="1"/>
  <c r="F20" i="9"/>
  <c r="G20" i="9" s="1"/>
  <c r="H20" i="9"/>
  <c r="F29" i="9"/>
  <c r="B34" i="3" a="1"/>
  <c r="F11" i="6"/>
  <c r="B34" i="6" a="1"/>
  <c r="E12" i="11"/>
  <c r="F12" i="11" s="1"/>
  <c r="C21" i="11"/>
  <c r="E21" i="11" s="1"/>
  <c r="F21" i="11" s="1"/>
  <c r="F19" i="10"/>
  <c r="H17" i="12"/>
  <c r="H11" i="12"/>
  <c r="F11" i="12"/>
  <c r="G11" i="12" s="1"/>
  <c r="F11" i="15"/>
  <c r="G11" i="15" s="1"/>
  <c r="F26" i="15"/>
  <c r="G26" i="15" s="1"/>
  <c r="H26" i="15"/>
  <c r="C18" i="17"/>
  <c r="E18" i="17" s="1"/>
  <c r="F18" i="17" s="1"/>
  <c r="F16" i="16"/>
  <c r="C6" i="14"/>
  <c r="E6" i="14" s="1"/>
  <c r="F6" i="14" s="1"/>
  <c r="F4" i="13"/>
  <c r="C11" i="17"/>
  <c r="E9" i="17" s="1"/>
  <c r="F9" i="17" s="1"/>
  <c r="F9" i="16"/>
  <c r="F4" i="4"/>
  <c r="F8" i="4"/>
  <c r="F20" i="4"/>
  <c r="F11" i="9"/>
  <c r="G11" i="9" s="1"/>
  <c r="B34" i="9" a="1"/>
  <c r="H26" i="9"/>
  <c r="F26" i="9"/>
  <c r="G26" i="9" s="1"/>
  <c r="F12" i="10"/>
  <c r="E6" i="11"/>
  <c r="F6" i="11" s="1"/>
  <c r="C9" i="11"/>
  <c r="E9" i="11" s="1"/>
  <c r="F9" i="11" s="1"/>
  <c r="F7" i="10"/>
  <c r="C16" i="11"/>
  <c r="E15" i="11" s="1"/>
  <c r="F15" i="11" s="1"/>
  <c r="F14" i="10"/>
  <c r="F20" i="12"/>
  <c r="G20" i="12" s="1"/>
  <c r="H23" i="12"/>
  <c r="F23" i="12"/>
  <c r="G23" i="12" s="1"/>
  <c r="E21" i="14"/>
  <c r="F21" i="14" s="1"/>
  <c r="H14" i="15"/>
  <c r="C16" i="8"/>
  <c r="E15" i="8" s="1"/>
  <c r="F15" i="8" s="1"/>
  <c r="F14" i="7"/>
  <c r="H24" i="18"/>
  <c r="F23" i="18"/>
  <c r="G23" i="18" s="1"/>
  <c r="C17" i="26"/>
  <c r="E15" i="26" s="1"/>
  <c r="F15" i="26" s="1"/>
  <c r="F15" i="25"/>
  <c r="F9" i="1"/>
  <c r="F11" i="1"/>
  <c r="F23" i="1"/>
  <c r="F11" i="3"/>
  <c r="G11" i="3" s="1"/>
  <c r="F13" i="4"/>
  <c r="F20" i="6"/>
  <c r="G20" i="6" s="1"/>
  <c r="C9" i="8"/>
  <c r="E9" i="8" s="1"/>
  <c r="F9" i="8" s="1"/>
  <c r="F7" i="7"/>
  <c r="C13" i="8"/>
  <c r="E12" i="8" s="1"/>
  <c r="F12" i="8" s="1"/>
  <c r="H23" i="9"/>
  <c r="F23" i="9"/>
  <c r="G23" i="9" s="1"/>
  <c r="F23" i="6"/>
  <c r="G23" i="6" s="1"/>
  <c r="H24" i="6"/>
  <c r="F17" i="6"/>
  <c r="G17" i="6" s="1"/>
  <c r="H14" i="12"/>
  <c r="F14" i="12"/>
  <c r="G14" i="12" s="1"/>
  <c r="C18" i="14"/>
  <c r="E18" i="14" s="1"/>
  <c r="F18" i="14" s="1"/>
  <c r="F16" i="13"/>
  <c r="C25" i="14"/>
  <c r="E24" i="14" s="1"/>
  <c r="F24" i="14" s="1"/>
  <c r="F23" i="13"/>
  <c r="H23" i="15"/>
  <c r="F23" i="15"/>
  <c r="G23" i="15" s="1"/>
  <c r="F17" i="15"/>
  <c r="G17" i="15" s="1"/>
  <c r="F20" i="18"/>
  <c r="G20" i="18" s="1"/>
  <c r="H20" i="18"/>
  <c r="B34" i="18" a="1"/>
  <c r="H11" i="18"/>
  <c r="F11" i="18"/>
  <c r="G11" i="18" s="1"/>
  <c r="R36" i="20"/>
  <c r="O44" i="20"/>
  <c r="S36" i="20" s="1"/>
  <c r="B34" i="21" a="1"/>
  <c r="C13" i="23"/>
  <c r="F11" i="22"/>
  <c r="E24" i="23"/>
  <c r="F24" i="23" s="1"/>
  <c r="B34" i="15" a="1"/>
  <c r="C13" i="17"/>
  <c r="E12" i="17" s="1"/>
  <c r="F12" i="17" s="1"/>
  <c r="F11" i="16"/>
  <c r="H14" i="18"/>
  <c r="F14" i="18"/>
  <c r="G14" i="18" s="1"/>
  <c r="F29" i="21"/>
  <c r="H21" i="21"/>
  <c r="F20" i="21"/>
  <c r="G20" i="21" s="1"/>
  <c r="H18" i="21"/>
  <c r="F17" i="21"/>
  <c r="G17" i="21" s="1"/>
  <c r="H17" i="18"/>
  <c r="F17" i="18"/>
  <c r="G17" i="18" s="1"/>
  <c r="C8" i="20"/>
  <c r="F6" i="19"/>
  <c r="C15" i="20"/>
  <c r="E15" i="20" s="1"/>
  <c r="F15" i="20" s="1"/>
  <c r="F13" i="19"/>
  <c r="E18" i="20"/>
  <c r="F18" i="20" s="1"/>
  <c r="C21" i="20"/>
  <c r="E21" i="20" s="1"/>
  <c r="F21" i="20" s="1"/>
  <c r="F19" i="19"/>
  <c r="H23" i="21"/>
  <c r="F23" i="21"/>
  <c r="G23" i="21" s="1"/>
  <c r="C20" i="23"/>
  <c r="F18" i="22"/>
  <c r="F8" i="19"/>
  <c r="C7" i="20"/>
  <c r="E6" i="20" s="1"/>
  <c r="F6" i="20" s="1"/>
  <c r="C12" i="20"/>
  <c r="E12" i="20" s="1"/>
  <c r="F12" i="20" s="1"/>
  <c r="C26" i="20"/>
  <c r="F24" i="20" s="1"/>
  <c r="R38" i="20"/>
  <c r="O50" i="20"/>
  <c r="S38" i="20" s="1"/>
  <c r="F14" i="21"/>
  <c r="G14" i="21" s="1"/>
  <c r="F6" i="22"/>
  <c r="C6" i="23"/>
  <c r="E6" i="23" s="1"/>
  <c r="F6" i="23" s="1"/>
  <c r="F4" i="22"/>
  <c r="C10" i="23"/>
  <c r="E9" i="23" s="1"/>
  <c r="F9" i="23" s="1"/>
  <c r="C19" i="23"/>
  <c r="C25" i="23"/>
  <c r="F23" i="22"/>
  <c r="F26" i="21"/>
  <c r="G26" i="21" s="1"/>
  <c r="H11" i="21"/>
  <c r="F11" i="21"/>
  <c r="G11" i="21" s="1"/>
  <c r="F20" i="22"/>
  <c r="C22" i="23"/>
  <c r="E21" i="23" s="1"/>
  <c r="F21" i="23" s="1"/>
  <c r="T32" i="23"/>
  <c r="T33" i="23"/>
  <c r="F20" i="19"/>
  <c r="S33" i="20"/>
  <c r="R34" i="20"/>
  <c r="O38" i="20"/>
  <c r="S34" i="20" s="1"/>
  <c r="S35" i="20"/>
  <c r="H26" i="21"/>
  <c r="E12" i="23"/>
  <c r="F12" i="23" s="1"/>
  <c r="R34" i="23"/>
  <c r="O41" i="23"/>
  <c r="T34" i="23" s="1"/>
  <c r="T35" i="23"/>
  <c r="H23" i="27"/>
  <c r="F23" i="27"/>
  <c r="G23" i="27" s="1"/>
  <c r="H18" i="27"/>
  <c r="F17" i="27"/>
  <c r="G17" i="27" s="1"/>
  <c r="H11" i="27"/>
  <c r="F11" i="27"/>
  <c r="G11" i="27" s="1"/>
  <c r="B34" i="27" a="1"/>
  <c r="R35" i="20"/>
  <c r="R37" i="20"/>
  <c r="F22" i="22"/>
  <c r="R32" i="23"/>
  <c r="R33" i="23"/>
  <c r="R35" i="23"/>
  <c r="R37" i="23"/>
  <c r="F26" i="24"/>
  <c r="G26" i="24" s="1"/>
  <c r="F23" i="24"/>
  <c r="G23" i="24" s="1"/>
  <c r="E6" i="26"/>
  <c r="F6" i="26" s="1"/>
  <c r="S34" i="26"/>
  <c r="R33" i="20"/>
  <c r="C18" i="23"/>
  <c r="E18" i="23" s="1"/>
  <c r="F18" i="23" s="1"/>
  <c r="F16" i="22"/>
  <c r="O47" i="23"/>
  <c r="T36" i="23" s="1"/>
  <c r="F17" i="24"/>
  <c r="G17" i="24" s="1"/>
  <c r="B34" i="24" a="1"/>
  <c r="F5" i="25"/>
  <c r="C7" i="26"/>
  <c r="F17" i="25"/>
  <c r="C19" i="26"/>
  <c r="E18" i="26" s="1"/>
  <c r="F18" i="26" s="1"/>
  <c r="R33" i="26"/>
  <c r="O35" i="26"/>
  <c r="S33" i="26" s="1"/>
  <c r="S35" i="26"/>
  <c r="S36" i="26"/>
  <c r="F26" i="27"/>
  <c r="G26" i="27" s="1"/>
  <c r="H26" i="27"/>
  <c r="C12" i="26"/>
  <c r="E12" i="26" s="1"/>
  <c r="F12" i="26" s="1"/>
  <c r="F10" i="25"/>
  <c r="C24" i="26"/>
  <c r="E24" i="26" s="1"/>
  <c r="F24" i="26" s="1"/>
  <c r="F22" i="25"/>
  <c r="S37" i="26"/>
  <c r="F14" i="27"/>
  <c r="G14" i="27" s="1"/>
  <c r="H14" i="27"/>
  <c r="R37" i="26"/>
  <c r="F8" i="25"/>
  <c r="F20" i="25"/>
  <c r="R35" i="26"/>
  <c r="F13" i="25"/>
  <c r="B41" i="36" l="1"/>
  <c r="B42" i="36" s="1"/>
  <c r="B41" i="54"/>
  <c r="B42" i="54" s="1"/>
  <c r="B41" i="51"/>
  <c r="B42" i="51" s="1"/>
  <c r="B41" i="33"/>
  <c r="B42" i="33" s="1"/>
  <c r="B42" i="39"/>
  <c r="B35" i="27"/>
  <c r="C38" i="27"/>
  <c r="B36" i="27"/>
  <c r="B38" i="27"/>
  <c r="C35" i="27"/>
  <c r="B34" i="27"/>
  <c r="B41" i="27" s="1"/>
  <c r="B42" i="27" s="1"/>
  <c r="C36" i="27"/>
  <c r="C37" i="27"/>
  <c r="B37" i="27"/>
  <c r="C34" i="27"/>
  <c r="B35" i="15"/>
  <c r="C38" i="15"/>
  <c r="B36" i="15"/>
  <c r="C37" i="15"/>
  <c r="C36" i="15"/>
  <c r="C35" i="15"/>
  <c r="B34" i="15"/>
  <c r="B41" i="15" s="1"/>
  <c r="B38" i="15"/>
  <c r="C34" i="15"/>
  <c r="B37" i="15"/>
  <c r="B34" i="21"/>
  <c r="C36" i="21"/>
  <c r="B37" i="21"/>
  <c r="C37" i="21"/>
  <c r="B36" i="21"/>
  <c r="C38" i="21"/>
  <c r="B38" i="21"/>
  <c r="C35" i="21"/>
  <c r="B35" i="21"/>
  <c r="C34" i="21"/>
  <c r="B35" i="6"/>
  <c r="C34" i="6"/>
  <c r="B37" i="6"/>
  <c r="C35" i="6"/>
  <c r="B38" i="6"/>
  <c r="C37" i="6"/>
  <c r="B36" i="6"/>
  <c r="C38" i="6"/>
  <c r="C36" i="6"/>
  <c r="B34" i="6"/>
  <c r="B41" i="6" s="1"/>
  <c r="B42" i="6" s="1"/>
  <c r="B34" i="24"/>
  <c r="C36" i="24"/>
  <c r="B38" i="24"/>
  <c r="C35" i="24"/>
  <c r="B35" i="24"/>
  <c r="B36" i="24"/>
  <c r="C37" i="24"/>
  <c r="C34" i="24"/>
  <c r="C38" i="24"/>
  <c r="B37" i="24"/>
  <c r="C37" i="18"/>
  <c r="B37" i="18"/>
  <c r="C34" i="18"/>
  <c r="B35" i="18"/>
  <c r="B38" i="18"/>
  <c r="C36" i="18"/>
  <c r="B36" i="18"/>
  <c r="B34" i="18"/>
  <c r="B41" i="18" s="1"/>
  <c r="B42" i="18" s="1"/>
  <c r="C38" i="18"/>
  <c r="C35" i="18"/>
  <c r="G11" i="6"/>
  <c r="J4" i="6"/>
  <c r="C34" i="9"/>
  <c r="C36" i="9"/>
  <c r="C38" i="9"/>
  <c r="B35" i="9"/>
  <c r="B37" i="9"/>
  <c r="C35" i="9"/>
  <c r="C37" i="9"/>
  <c r="B34" i="9"/>
  <c r="B41" i="9" s="1"/>
  <c r="B42" i="9" s="1"/>
  <c r="B36" i="9"/>
  <c r="B38" i="9"/>
  <c r="B34" i="3"/>
  <c r="B41" i="3" s="1"/>
  <c r="B42" i="3" s="1"/>
  <c r="B36" i="3"/>
  <c r="B38" i="3"/>
  <c r="C34" i="3"/>
  <c r="C36" i="3"/>
  <c r="C38" i="3"/>
  <c r="B35" i="3"/>
  <c r="B37" i="3"/>
  <c r="C37" i="3"/>
  <c r="C35" i="3"/>
  <c r="B41" i="24" l="1"/>
  <c r="B42" i="24" s="1"/>
  <c r="B41" i="21"/>
  <c r="B42" i="21" s="1"/>
  <c r="B42" i="15"/>
</calcChain>
</file>

<file path=xl/sharedStrings.xml><?xml version="1.0" encoding="utf-8"?>
<sst xmlns="http://schemas.openxmlformats.org/spreadsheetml/2006/main" count="2392" uniqueCount="206">
  <si>
    <t>Best fit data</t>
  </si>
  <si>
    <t>MOSHER</t>
  </si>
  <si>
    <t>Treatment</t>
  </si>
  <si>
    <t>ku (SD)</t>
  </si>
  <si>
    <t>km (SD)</t>
  </si>
  <si>
    <t>kep (SD)</t>
  </si>
  <si>
    <t>Model fit (r2)</t>
  </si>
  <si>
    <t>BCF</t>
  </si>
  <si>
    <t>t1/2</t>
  </si>
  <si>
    <t>0.2 18C</t>
  </si>
  <si>
    <t>1215 (117)</t>
  </si>
  <si>
    <t>0.021 (0.002)</t>
  </si>
  <si>
    <t>0.066 (0.011)</t>
  </si>
  <si>
    <t>0.2 23C</t>
  </si>
  <si>
    <t>1487 (151)</t>
  </si>
  <si>
    <t>0.036 (0.003)</t>
  </si>
  <si>
    <t>0.084 (0.016)</t>
  </si>
  <si>
    <t>0.2 28C</t>
  </si>
  <si>
    <t>1591 (198)</t>
  </si>
  <si>
    <t>0.053 (0.004)</t>
  </si>
  <si>
    <t>0.076 (0.021)</t>
  </si>
  <si>
    <t>1.0 18C</t>
  </si>
  <si>
    <t>1181 (118)</t>
  </si>
  <si>
    <t>0.034 (0.003)</t>
  </si>
  <si>
    <t>0.083 (0.016)</t>
  </si>
  <si>
    <t>1.0 23C*</t>
  </si>
  <si>
    <t>1202 (163)</t>
  </si>
  <si>
    <t>0.062 (0.005)</t>
  </si>
  <si>
    <t>0.105 (0.028)</t>
  </si>
  <si>
    <t>1.0 28C</t>
  </si>
  <si>
    <t>1605 (265)</t>
  </si>
  <si>
    <t>0.072 (0.006)</t>
  </si>
  <si>
    <t>0.101 (0.036)</t>
  </si>
  <si>
    <t>6.0 18C</t>
  </si>
  <si>
    <t>1489 (143)</t>
  </si>
  <si>
    <t>0.026 (0.002)</t>
  </si>
  <si>
    <t>0.108 (0.017)</t>
  </si>
  <si>
    <t>6.0 23C</t>
  </si>
  <si>
    <t>1468 (135)</t>
  </si>
  <si>
    <t>0.033 (0.003)</t>
  </si>
  <si>
    <t>0.089 (0.015)</t>
  </si>
  <si>
    <t>6.0 28C</t>
  </si>
  <si>
    <t>2197 (276)</t>
  </si>
  <si>
    <t>0.054 (0.004)</t>
  </si>
  <si>
    <t>0.125 (0.028)</t>
  </si>
  <si>
    <t>ESCONDIDO</t>
  </si>
  <si>
    <t>1346 (507)</t>
  </si>
  <si>
    <t>0.086 (0.012)</t>
  </si>
  <si>
    <t>0.233 (0.137)</t>
  </si>
  <si>
    <t>1634 (344)</t>
  </si>
  <si>
    <t>0.090 (0.008)</t>
  </si>
  <si>
    <t>0.174 (0.065)</t>
  </si>
  <si>
    <t>1330 (701)</t>
  </si>
  <si>
    <t>0.091 (0.017)</t>
  </si>
  <si>
    <t>0.279 (0.219)</t>
  </si>
  <si>
    <t>1895 (339)</t>
  </si>
  <si>
    <t>0.042 (0.004)</t>
  </si>
  <si>
    <t>0.195 (0.050)</t>
  </si>
  <si>
    <t>1057 (127)</t>
  </si>
  <si>
    <t>0.055 (0.004)</t>
  </si>
  <si>
    <t>0.056 (0.018)</t>
  </si>
  <si>
    <t>1451 (405)</t>
  </si>
  <si>
    <t>0.139 (0.019)</t>
  </si>
  <si>
    <t>0.146 (0.091)</t>
  </si>
  <si>
    <t>1492 (186)</t>
  </si>
  <si>
    <t>0.046 (0.003)</t>
  </si>
  <si>
    <t>0.142 (0.029)</t>
  </si>
  <si>
    <t>1370 (119)</t>
  </si>
  <si>
    <t>0.048 (0.003)</t>
  </si>
  <si>
    <t>0.051 (0.013)</t>
  </si>
  <si>
    <t>1194 (146)</t>
  </si>
  <si>
    <t>0.085 (0.006)</t>
  </si>
  <si>
    <t>0.076 (0.025)</t>
  </si>
  <si>
    <t>* sensitivity analyses completed</t>
  </si>
  <si>
    <t>0.2 Mosher 18C</t>
  </si>
  <si>
    <t>Sample</t>
  </si>
  <si>
    <t>Mass of foil tin (g)</t>
  </si>
  <si>
    <t>Mass of foil tin + HA (g)</t>
  </si>
  <si>
    <t>Mass of total HA (g)</t>
  </si>
  <si>
    <t># of HA</t>
  </si>
  <si>
    <t>Average mass of 1 HA (g)</t>
  </si>
  <si>
    <t>3 h r1</t>
  </si>
  <si>
    <t>3 h r2</t>
  </si>
  <si>
    <t>3 h r3</t>
  </si>
  <si>
    <t>6 h r1</t>
  </si>
  <si>
    <t>6 h r2</t>
  </si>
  <si>
    <t>6 h r3</t>
  </si>
  <si>
    <t>12 h r1</t>
  </si>
  <si>
    <t>12 h r2</t>
  </si>
  <si>
    <t>12 h r3</t>
  </si>
  <si>
    <t>24 h r1</t>
  </si>
  <si>
    <t>24 h r2</t>
  </si>
  <si>
    <t>24 h r3</t>
  </si>
  <si>
    <t>36 h r1</t>
  </si>
  <si>
    <t>36 h r2</t>
  </si>
  <si>
    <t>36 h r3</t>
  </si>
  <si>
    <t>48 h r1</t>
  </si>
  <si>
    <t>48 h r2</t>
  </si>
  <si>
    <t>48 h r3</t>
  </si>
  <si>
    <t>Control r1</t>
  </si>
  <si>
    <t>Control r2</t>
  </si>
  <si>
    <t>Control r3</t>
  </si>
  <si>
    <t>Blank</t>
  </si>
  <si>
    <t>dpm (accounted for blank)</t>
  </si>
  <si>
    <t>ng/g ww</t>
  </si>
  <si>
    <t>ng/animal</t>
  </si>
  <si>
    <t>Average ng/g ww</t>
  </si>
  <si>
    <t xml:space="preserve">Relative Standard Deviation </t>
  </si>
  <si>
    <t>QA/QC before</t>
  </si>
  <si>
    <t>QA/QC after</t>
  </si>
  <si>
    <t>Time point</t>
  </si>
  <si>
    <t>**Error bars represent standard error</t>
  </si>
  <si>
    <t>METABOLITES</t>
  </si>
  <si>
    <t>Fraction 1</t>
  </si>
  <si>
    <t>Fraction 2</t>
  </si>
  <si>
    <t>Fraction 3</t>
  </si>
  <si>
    <t>Fraction 4</t>
  </si>
  <si>
    <t>Fraction 5</t>
  </si>
  <si>
    <t>% Parent</t>
  </si>
  <si>
    <t>Total</t>
  </si>
  <si>
    <t xml:space="preserve">Parent </t>
  </si>
  <si>
    <t>Metabolite</t>
  </si>
  <si>
    <t>Control</t>
  </si>
  <si>
    <t>3 h</t>
  </si>
  <si>
    <t>6 h</t>
  </si>
  <si>
    <t>12 h</t>
  </si>
  <si>
    <t>24 h</t>
  </si>
  <si>
    <t>36 h</t>
  </si>
  <si>
    <t>48 h</t>
  </si>
  <si>
    <t>dpm (corrected for blank)</t>
  </si>
  <si>
    <t>dpm/uL</t>
  </si>
  <si>
    <t>conc ug/uL</t>
  </si>
  <si>
    <t>conc ng/L</t>
  </si>
  <si>
    <t>Average ng/L</t>
  </si>
  <si>
    <t>conc ng/mL</t>
  </si>
  <si>
    <t>standard error</t>
  </si>
  <si>
    <t>D0 Control</t>
  </si>
  <si>
    <t>D0 3 h</t>
  </si>
  <si>
    <t>D0 6 h</t>
  </si>
  <si>
    <t>D0 12 h</t>
  </si>
  <si>
    <t>D0 24 h</t>
  </si>
  <si>
    <t>D0 36 h</t>
  </si>
  <si>
    <t>D0 48 h</t>
  </si>
  <si>
    <t>3 r1</t>
  </si>
  <si>
    <t>3 r2</t>
  </si>
  <si>
    <t>3 r3</t>
  </si>
  <si>
    <t>6 r1</t>
  </si>
  <si>
    <t>6 r2</t>
  </si>
  <si>
    <t>6 r3</t>
  </si>
  <si>
    <t>12 r1</t>
  </si>
  <si>
    <t>12 r2</t>
  </si>
  <si>
    <t>12 r3</t>
  </si>
  <si>
    <t>24 r1</t>
  </si>
  <si>
    <t>24 r2</t>
  </si>
  <si>
    <t>24 r3</t>
  </si>
  <si>
    <t>36 r1</t>
  </si>
  <si>
    <t>36 r2</t>
  </si>
  <si>
    <t>36 r3</t>
  </si>
  <si>
    <t>48 r1</t>
  </si>
  <si>
    <t>48 r2</t>
  </si>
  <si>
    <t>48 r3</t>
  </si>
  <si>
    <t>C r1</t>
  </si>
  <si>
    <t>C r2</t>
  </si>
  <si>
    <t>C r3</t>
  </si>
  <si>
    <t>Slope</t>
  </si>
  <si>
    <t>intercept</t>
  </si>
  <si>
    <t>error</t>
  </si>
  <si>
    <t>r-squared</t>
  </si>
  <si>
    <t>standard deviation of y</t>
  </si>
  <si>
    <t>F-statistic</t>
  </si>
  <si>
    <t xml:space="preserve">degrees of freedom </t>
  </si>
  <si>
    <t>regression sum of squares</t>
  </si>
  <si>
    <t>residual sum of squares</t>
  </si>
  <si>
    <t>t value</t>
  </si>
  <si>
    <t>p-value</t>
  </si>
  <si>
    <t>**accept null hypothesis that slope of regression line is 0</t>
  </si>
  <si>
    <t>1.0 Mosher 18C</t>
  </si>
  <si>
    <t>16 h r1</t>
  </si>
  <si>
    <t>16 h r2</t>
  </si>
  <si>
    <t>16 h r3</t>
  </si>
  <si>
    <t>16 h</t>
  </si>
  <si>
    <t>D0 16 h</t>
  </si>
  <si>
    <t>16 r1</t>
  </si>
  <si>
    <t>16 r2</t>
  </si>
  <si>
    <t>16 r3</t>
  </si>
  <si>
    <t>6.0 Mosher 18C</t>
  </si>
  <si>
    <t>time</t>
  </si>
  <si>
    <t xml:space="preserve">parent </t>
  </si>
  <si>
    <t>metab</t>
  </si>
  <si>
    <t>0.2 Mosher 23C</t>
  </si>
  <si>
    <t>**reject null hypothesis that slope of regression line is 0</t>
  </si>
  <si>
    <t>1.0 Mosher 23C</t>
  </si>
  <si>
    <t>6.0 Mosher 23C</t>
  </si>
  <si>
    <t>parent</t>
  </si>
  <si>
    <t>0.2 Mosher 28C</t>
  </si>
  <si>
    <t>1.0 Mosher 28C</t>
  </si>
  <si>
    <t>6.0 Mosher 28C</t>
  </si>
  <si>
    <t>0.2 Escondido 18C</t>
  </si>
  <si>
    <t>1.0 Escondido 18C</t>
  </si>
  <si>
    <t>6.0 Escondido 18C</t>
  </si>
  <si>
    <t>0.2 Escondido 23C</t>
  </si>
  <si>
    <t>1.0 Escondido 23C</t>
  </si>
  <si>
    <t>6.0 Escondido 23C</t>
  </si>
  <si>
    <t>0.2 Escondido 28C</t>
  </si>
  <si>
    <t>1.0 Escondido 28C</t>
  </si>
  <si>
    <t>6.0 Escondido 28C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</si>
</sst>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
    <numFmt numFmtId="166" formatCode="0.000"/>
    <numFmt numFmtId="167" formatCode="0.00000000000000000000E+00"/>
    <numFmt numFmtId="168" formatCode="0.00000000000000000000"/>
  </numFmts>
  <fonts count="1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6600"/>
        <bgColor indexed="64"/>
      </patternFill>
    </fill>
  </fills>
  <borders count="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53">
    <xf numFmtId="0" fontId="0"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7">
    <xf numFmtId="0" fontId="0" fillId="0" borderId="0" xfId="0"/>
    <xf numFmtId="0" fontId="4" fillId="0" borderId="0" xfId="0" applyFont="1"/>
    <xf numFmtId="164" fontId="0" fillId="0" borderId="0" xfId="0" applyNumberFormat="1"/>
    <xf numFmtId="9" fontId="0" fillId="0" borderId="0" xfId="1" applyFont="1"/>
    <xf numFmtId="1" fontId="0" fillId="0" borderId="0" xfId="0" applyNumberFormat="1"/>
    <xf numFmtId="165" fontId="0" fillId="0" borderId="0" xfId="0" applyNumberFormat="1"/>
    <xf numFmtId="9" fontId="0" fillId="0" borderId="0" xfId="2" applyFont="1"/>
    <xf numFmtId="1" fontId="0" fillId="0" borderId="0" xfId="0" applyNumberFormat="1" applyFill="1"/>
    <xf numFmtId="9" fontId="0" fillId="0" borderId="0" xfId="2" applyFont="1" applyFill="1"/>
    <xf numFmtId="9" fontId="0" fillId="0" borderId="0" xfId="1" applyFont="1" applyFill="1"/>
    <xf numFmtId="9" fontId="0" fillId="0" borderId="0" xfId="3" applyFont="1"/>
    <xf numFmtId="9" fontId="0" fillId="0" borderId="0" xfId="4" applyFont="1"/>
    <xf numFmtId="9" fontId="0" fillId="0" borderId="0" xfId="4" applyFont="1" applyFill="1"/>
    <xf numFmtId="166" fontId="0" fillId="0" borderId="0" xfId="0" applyNumberFormat="1"/>
    <xf numFmtId="0" fontId="0" fillId="2" borderId="0" xfId="0" applyFill="1"/>
    <xf numFmtId="0" fontId="0" fillId="3" borderId="0" xfId="0" applyFill="1"/>
    <xf numFmtId="164" fontId="0" fillId="3" borderId="0" xfId="0" applyNumberFormat="1" applyFill="1"/>
    <xf numFmtId="1" fontId="0" fillId="3" borderId="0" xfId="0" applyNumberFormat="1" applyFill="1"/>
    <xf numFmtId="0" fontId="7" fillId="2" borderId="0" xfId="0" applyFont="1" applyFill="1"/>
    <xf numFmtId="1" fontId="8" fillId="0" borderId="0" xfId="0" applyNumberFormat="1" applyFont="1"/>
    <xf numFmtId="9" fontId="0" fillId="0" borderId="0" xfId="13" applyFont="1"/>
    <xf numFmtId="9" fontId="0" fillId="0" borderId="0" xfId="13" applyFont="1" applyFill="1"/>
    <xf numFmtId="167" fontId="0" fillId="0" borderId="0" xfId="0" applyNumberFormat="1"/>
    <xf numFmtId="168" fontId="0" fillId="0" borderId="0" xfId="0" applyNumberFormat="1"/>
    <xf numFmtId="0" fontId="9" fillId="0" borderId="0" xfId="0" applyFont="1"/>
    <xf numFmtId="0" fontId="8" fillId="0" borderId="0" xfId="0" applyFont="1"/>
    <xf numFmtId="164" fontId="8" fillId="0" borderId="0" xfId="0" applyNumberFormat="1" applyFont="1"/>
    <xf numFmtId="9" fontId="0" fillId="0" borderId="0" xfId="52" applyFont="1"/>
    <xf numFmtId="9" fontId="0" fillId="0" borderId="0" xfId="52" applyFont="1" applyFill="1"/>
    <xf numFmtId="0" fontId="0" fillId="0" borderId="1" xfId="0" applyBorder="1"/>
    <xf numFmtId="0" fontId="0" fillId="0" borderId="2" xfId="0" applyBorder="1" applyAlignment="1">
      <alignment horizontal="center"/>
    </xf>
    <xf numFmtId="0" fontId="0" fillId="0" borderId="0" xfId="0" applyAlignment="1">
      <alignment horizontal="center"/>
    </xf>
    <xf numFmtId="1" fontId="0" fillId="0" borderId="0" xfId="0" applyNumberFormat="1" applyAlignment="1">
      <alignment horizontal="center"/>
    </xf>
    <xf numFmtId="2" fontId="0" fillId="0" borderId="0" xfId="0" applyNumberFormat="1" applyAlignment="1">
      <alignment horizontal="center"/>
    </xf>
    <xf numFmtId="0" fontId="4" fillId="0" borderId="0" xfId="0" applyFont="1" applyAlignment="1">
      <alignment horizontal="center"/>
    </xf>
    <xf numFmtId="2" fontId="0" fillId="0" borderId="2" xfId="0" applyNumberFormat="1" applyBorder="1" applyAlignment="1">
      <alignment horizontal="center"/>
    </xf>
    <xf numFmtId="0" fontId="7" fillId="0" borderId="0" xfId="0" applyFont="1"/>
  </cellXfs>
  <cellStyles count="53">
    <cellStyle name="Followed Hyperlink" xfId="35" builtinId="9" hidden="1"/>
    <cellStyle name="Followed Hyperlink" xfId="27" builtinId="9" hidden="1"/>
    <cellStyle name="Followed Hyperlink" xfId="15" builtinId="9" hidden="1"/>
    <cellStyle name="Followed Hyperlink" xfId="21" builtinId="9" hidden="1"/>
    <cellStyle name="Followed Hyperlink" xfId="23" builtinId="9" hidden="1"/>
    <cellStyle name="Followed Hyperlink" xfId="25" builtinId="9" hidden="1"/>
    <cellStyle name="Followed Hyperlink" xfId="10" builtinId="9" hidden="1"/>
    <cellStyle name="Followed Hyperlink" xfId="12" builtinId="9" hidden="1"/>
    <cellStyle name="Followed Hyperlink" xfId="8" builtinId="9" hidden="1"/>
    <cellStyle name="Followed Hyperlink" xfId="6" builtinId="9" hidden="1"/>
    <cellStyle name="Followed Hyperlink" xfId="19" builtinId="9" hidden="1"/>
    <cellStyle name="Followed Hyperlink" xfId="17" builtinId="9" hidden="1"/>
    <cellStyle name="Followed Hyperlink" xfId="43" builtinId="9" hidden="1"/>
    <cellStyle name="Followed Hyperlink" xfId="39" builtinId="9" hidden="1"/>
    <cellStyle name="Followed Hyperlink" xfId="41" builtinId="9" hidden="1"/>
    <cellStyle name="Followed Hyperlink" xfId="47" builtinId="9" hidden="1"/>
    <cellStyle name="Followed Hyperlink" xfId="49" builtinId="9" hidden="1"/>
    <cellStyle name="Followed Hyperlink" xfId="51" builtinId="9" hidden="1"/>
    <cellStyle name="Followed Hyperlink" xfId="45" builtinId="9" hidden="1"/>
    <cellStyle name="Followed Hyperlink" xfId="33" builtinId="9" hidden="1"/>
    <cellStyle name="Followed Hyperlink" xfId="37" builtinId="9" hidden="1"/>
    <cellStyle name="Followed Hyperlink" xfId="31" builtinId="9" hidden="1"/>
    <cellStyle name="Followed Hyperlink" xfId="29" builtinId="9" hidden="1"/>
    <cellStyle name="Hyperlink" xfId="11" builtinId="8" hidden="1"/>
    <cellStyle name="Hyperlink" xfId="5" builtinId="8" hidden="1"/>
    <cellStyle name="Hyperlink" xfId="7" builtinId="8" hidden="1"/>
    <cellStyle name="Hyperlink" xfId="34" builtinId="8" hidden="1"/>
    <cellStyle name="Hyperlink" xfId="38" builtinId="8" hidden="1"/>
    <cellStyle name="Hyperlink" xfId="42" builtinId="8" hidden="1"/>
    <cellStyle name="Hyperlink" xfId="44" builtinId="8" hidden="1"/>
    <cellStyle name="Hyperlink" xfId="40" builtinId="8" hidden="1"/>
    <cellStyle name="Hyperlink" xfId="24" builtinId="8" hidden="1"/>
    <cellStyle name="Hyperlink" xfId="14" builtinId="8" hidden="1"/>
    <cellStyle name="Hyperlink" xfId="16" builtinId="8" hidden="1"/>
    <cellStyle name="Hyperlink" xfId="20" builtinId="8" hidden="1"/>
    <cellStyle name="Hyperlink" xfId="9" builtinId="8" hidden="1"/>
    <cellStyle name="Hyperlink" xfId="18" builtinId="8" hidden="1"/>
    <cellStyle name="Hyperlink" xfId="36" builtinId="8" hidden="1"/>
    <cellStyle name="Hyperlink" xfId="26" builtinId="8" hidden="1"/>
    <cellStyle name="Hyperlink" xfId="28" builtinId="8" hidden="1"/>
    <cellStyle name="Hyperlink" xfId="30" builtinId="8" hidden="1"/>
    <cellStyle name="Hyperlink" xfId="32" builtinId="8" hidden="1"/>
    <cellStyle name="Hyperlink" xfId="48" builtinId="8" hidden="1"/>
    <cellStyle name="Hyperlink" xfId="22" builtinId="8" hidden="1"/>
    <cellStyle name="Hyperlink" xfId="50" builtinId="8" hidden="1"/>
    <cellStyle name="Hyperlink" xfId="46" builtinId="8" hidden="1"/>
    <cellStyle name="Normal" xfId="0" builtinId="0"/>
    <cellStyle name="Percent" xfId="1" builtinId="5"/>
    <cellStyle name="Percent 2" xfId="2" xr:uid="{00000000-0005-0000-0000-000030000000}"/>
    <cellStyle name="Percent 2 2" xfId="4" xr:uid="{00000000-0005-0000-0000-000031000000}"/>
    <cellStyle name="Percent 2 2 2" xfId="52" xr:uid="{00000000-0005-0000-0000-000032000000}"/>
    <cellStyle name="Percent 2 3" xfId="13" xr:uid="{00000000-0005-0000-0000-000033000000}"/>
    <cellStyle name="Percent 3" xfId="3" xr:uid="{00000000-0005-0000-0000-00003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Average ng/g ww</a:t>
            </a:r>
          </a:p>
        </c:rich>
      </c:tx>
      <c:overlay val="0"/>
    </c:title>
    <c:autoTitleDeleted val="0"/>
    <c:plotArea>
      <c:layout/>
      <c:lineChart>
        <c:grouping val="standard"/>
        <c:varyColors val="0"/>
        <c:ser>
          <c:idx val="1"/>
          <c:order val="0"/>
          <c:spPr>
            <a:ln w="25400" cap="rnd"/>
          </c:spPr>
          <c:marker>
            <c:symbol val="none"/>
          </c:marker>
          <c:errBars>
            <c:errDir val="y"/>
            <c:errBarType val="both"/>
            <c:errValType val="stdErr"/>
            <c:noEndCap val="1"/>
          </c:errBars>
          <c:cat>
            <c:numRef>
              <c:f>'Mosher TotalsMetabolites 0.2 18'!$I$7:$I$12</c:f>
              <c:numCache>
                <c:formatCode>General</c:formatCode>
                <c:ptCount val="6"/>
                <c:pt idx="0">
                  <c:v>3</c:v>
                </c:pt>
                <c:pt idx="1">
                  <c:v>6</c:v>
                </c:pt>
                <c:pt idx="2">
                  <c:v>12</c:v>
                </c:pt>
                <c:pt idx="3">
                  <c:v>24</c:v>
                </c:pt>
                <c:pt idx="4">
                  <c:v>36</c:v>
                </c:pt>
                <c:pt idx="5">
                  <c:v>48</c:v>
                </c:pt>
              </c:numCache>
            </c:numRef>
          </c:cat>
          <c:val>
            <c:numRef>
              <c:f>'Mosher TotalsMetabolites 0.2 18'!$J$7:$J$12</c:f>
              <c:numCache>
                <c:formatCode>General</c:formatCode>
                <c:ptCount val="6"/>
                <c:pt idx="0">
                  <c:v>2102</c:v>
                </c:pt>
                <c:pt idx="1">
                  <c:v>2033</c:v>
                </c:pt>
                <c:pt idx="2">
                  <c:v>2941</c:v>
                </c:pt>
                <c:pt idx="3">
                  <c:v>5682</c:v>
                </c:pt>
                <c:pt idx="4">
                  <c:v>6148</c:v>
                </c:pt>
                <c:pt idx="5">
                  <c:v>8176</c:v>
                </c:pt>
              </c:numCache>
            </c:numRef>
          </c:val>
          <c:smooth val="0"/>
          <c:extLst>
            <c:ext xmlns:c16="http://schemas.microsoft.com/office/drawing/2014/chart" uri="{C3380CC4-5D6E-409C-BE32-E72D297353CC}">
              <c16:uniqueId val="{00000000-014D-4A92-963C-B6F7EE41B014}"/>
            </c:ext>
          </c:extLst>
        </c:ser>
        <c:dLbls>
          <c:showLegendKey val="0"/>
          <c:showVal val="0"/>
          <c:showCatName val="0"/>
          <c:showSerName val="0"/>
          <c:showPercent val="0"/>
          <c:showBubbleSize val="0"/>
        </c:dLbls>
        <c:smooth val="0"/>
        <c:axId val="-2139952680"/>
        <c:axId val="-2139949176"/>
      </c:lineChart>
      <c:catAx>
        <c:axId val="-2139952680"/>
        <c:scaling>
          <c:orientation val="minMax"/>
        </c:scaling>
        <c:delete val="0"/>
        <c:axPos val="b"/>
        <c:title>
          <c:tx>
            <c:rich>
              <a:bodyPr/>
              <a:lstStyle/>
              <a:p>
                <a:pPr>
                  <a:defRPr/>
                </a:pPr>
                <a:r>
                  <a:rPr lang="en-US"/>
                  <a:t>Hours</a:t>
                </a:r>
              </a:p>
            </c:rich>
          </c:tx>
          <c:overlay val="0"/>
        </c:title>
        <c:numFmt formatCode="General" sourceLinked="1"/>
        <c:majorTickMark val="out"/>
        <c:minorTickMark val="none"/>
        <c:tickLblPos val="nextTo"/>
        <c:crossAx val="-2139949176"/>
        <c:crosses val="autoZero"/>
        <c:auto val="1"/>
        <c:lblAlgn val="ctr"/>
        <c:lblOffset val="100"/>
        <c:noMultiLvlLbl val="0"/>
      </c:catAx>
      <c:valAx>
        <c:axId val="-2139949176"/>
        <c:scaling>
          <c:orientation val="minMax"/>
        </c:scaling>
        <c:delete val="0"/>
        <c:axPos val="l"/>
        <c:majorGridlines/>
        <c:title>
          <c:tx>
            <c:rich>
              <a:bodyPr rot="-5400000" vert="horz"/>
              <a:lstStyle/>
              <a:p>
                <a:pPr>
                  <a:defRPr/>
                </a:pPr>
                <a:r>
                  <a:rPr lang="en-US"/>
                  <a:t>Average</a:t>
                </a:r>
                <a:r>
                  <a:rPr lang="en-US" baseline="0"/>
                  <a:t> ng/g ww</a:t>
                </a:r>
                <a:endParaRPr lang="en-US"/>
              </a:p>
            </c:rich>
          </c:tx>
          <c:overlay val="0"/>
        </c:title>
        <c:numFmt formatCode="General" sourceLinked="1"/>
        <c:majorTickMark val="out"/>
        <c:minorTickMark val="none"/>
        <c:tickLblPos val="nextTo"/>
        <c:crossAx val="-2139952680"/>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'Mosher TotalsMetabolites 0.2 18'!$G$4:$G$23</c:f>
              <c:numCache>
                <c:formatCode>General</c:formatCode>
                <c:ptCount val="20"/>
                <c:pt idx="0">
                  <c:v>0</c:v>
                </c:pt>
                <c:pt idx="1">
                  <c:v>0</c:v>
                </c:pt>
                <c:pt idx="2">
                  <c:v>3</c:v>
                </c:pt>
                <c:pt idx="3">
                  <c:v>3</c:v>
                </c:pt>
                <c:pt idx="4">
                  <c:v>3</c:v>
                </c:pt>
                <c:pt idx="5">
                  <c:v>6</c:v>
                </c:pt>
                <c:pt idx="6">
                  <c:v>6</c:v>
                </c:pt>
                <c:pt idx="7">
                  <c:v>6</c:v>
                </c:pt>
                <c:pt idx="8">
                  <c:v>12</c:v>
                </c:pt>
                <c:pt idx="9">
                  <c:v>12</c:v>
                </c:pt>
                <c:pt idx="10">
                  <c:v>12</c:v>
                </c:pt>
                <c:pt idx="11">
                  <c:v>24</c:v>
                </c:pt>
                <c:pt idx="12">
                  <c:v>24</c:v>
                </c:pt>
                <c:pt idx="13">
                  <c:v>24</c:v>
                </c:pt>
                <c:pt idx="14">
                  <c:v>36</c:v>
                </c:pt>
                <c:pt idx="15">
                  <c:v>36</c:v>
                </c:pt>
                <c:pt idx="16">
                  <c:v>36</c:v>
                </c:pt>
                <c:pt idx="17">
                  <c:v>48</c:v>
                </c:pt>
                <c:pt idx="18">
                  <c:v>48</c:v>
                </c:pt>
                <c:pt idx="19">
                  <c:v>48</c:v>
                </c:pt>
              </c:numCache>
            </c:numRef>
          </c:xVal>
          <c:yVal>
            <c:numRef>
              <c:f>'Mosher TotalsMetabolites 0.2 18'!$D$4:$D$23</c:f>
              <c:numCache>
                <c:formatCode>General</c:formatCode>
                <c:ptCount val="20"/>
                <c:pt idx="0">
                  <c:v>0</c:v>
                </c:pt>
                <c:pt idx="1">
                  <c:v>0</c:v>
                </c:pt>
                <c:pt idx="2" formatCode="0.0000">
                  <c:v>0.28761881147202245</c:v>
                </c:pt>
                <c:pt idx="3" formatCode="0.0000">
                  <c:v>0.12495798550844422</c:v>
                </c:pt>
                <c:pt idx="4" formatCode="0.0000">
                  <c:v>0.19282309832768546</c:v>
                </c:pt>
                <c:pt idx="5" formatCode="0.0000">
                  <c:v>0.22729426674380801</c:v>
                </c:pt>
                <c:pt idx="6" formatCode="0.0000">
                  <c:v>0.14757968978152464</c:v>
                </c:pt>
                <c:pt idx="7" formatCode="0.0000">
                  <c:v>0.25099319502989226</c:v>
                </c:pt>
                <c:pt idx="8" formatCode="0.0000">
                  <c:v>0.33932556409620634</c:v>
                </c:pt>
                <c:pt idx="9" formatCode="0.0000">
                  <c:v>0.37298881450257593</c:v>
                </c:pt>
                <c:pt idx="10" formatCode="0.0000">
                  <c:v>0.31778108383612974</c:v>
                </c:pt>
                <c:pt idx="11" formatCode="0.0000">
                  <c:v>0.52353087031986112</c:v>
                </c:pt>
                <c:pt idx="12" formatCode="0.0000">
                  <c:v>0.71527674463454283</c:v>
                </c:pt>
                <c:pt idx="13" formatCode="0.0000">
                  <c:v>0.68080557621842031</c:v>
                </c:pt>
                <c:pt idx="14" formatCode="0.0000">
                  <c:v>0.55800203873598364</c:v>
                </c:pt>
                <c:pt idx="15" formatCode="0.0000">
                  <c:v>0.58385541504807559</c:v>
                </c:pt>
                <c:pt idx="16" formatCode="0.0000">
                  <c:v>0.57308317491803729</c:v>
                </c:pt>
                <c:pt idx="17" formatCode="0.0000">
                  <c:v>0.84777529823401376</c:v>
                </c:pt>
                <c:pt idx="18" formatCode="0.0000">
                  <c:v>0.53322588643689561</c:v>
                </c:pt>
                <c:pt idx="19" formatCode="0.0000">
                  <c:v>0.97488773176846566</c:v>
                </c:pt>
              </c:numCache>
            </c:numRef>
          </c:yVal>
          <c:smooth val="0"/>
          <c:extLst>
            <c:ext xmlns:c16="http://schemas.microsoft.com/office/drawing/2014/chart" uri="{C3380CC4-5D6E-409C-BE32-E72D297353CC}">
              <c16:uniqueId val="{00000000-3D8C-B84A-B0E2-5DA0F4990A02}"/>
            </c:ext>
          </c:extLst>
        </c:ser>
        <c:dLbls>
          <c:showLegendKey val="0"/>
          <c:showVal val="0"/>
          <c:showCatName val="0"/>
          <c:showSerName val="0"/>
          <c:showPercent val="0"/>
          <c:showBubbleSize val="0"/>
        </c:dLbls>
        <c:axId val="-2138110584"/>
        <c:axId val="-2139600632"/>
      </c:scatterChart>
      <c:valAx>
        <c:axId val="-2138110584"/>
        <c:scaling>
          <c:orientation val="minMax"/>
        </c:scaling>
        <c:delete val="0"/>
        <c:axPos val="b"/>
        <c:numFmt formatCode="General" sourceLinked="1"/>
        <c:majorTickMark val="out"/>
        <c:minorTickMark val="none"/>
        <c:tickLblPos val="nextTo"/>
        <c:crossAx val="-2139600632"/>
        <c:crosses val="autoZero"/>
        <c:crossBetween val="midCat"/>
      </c:valAx>
      <c:valAx>
        <c:axId val="-2139600632"/>
        <c:scaling>
          <c:orientation val="minMax"/>
        </c:scaling>
        <c:delete val="0"/>
        <c:axPos val="l"/>
        <c:majorGridlines/>
        <c:numFmt formatCode="General" sourceLinked="1"/>
        <c:majorTickMark val="out"/>
        <c:minorTickMark val="none"/>
        <c:tickLblPos val="nextTo"/>
        <c:crossAx val="-2138110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0"/>
          </c:trendline>
          <c:trendline>
            <c:trendlineType val="linear"/>
            <c:dispRSqr val="0"/>
            <c:dispEq val="1"/>
            <c:trendlineLbl>
              <c:layout>
                <c:manualLayout>
                  <c:x val="0.36217482543455598"/>
                  <c:y val="-0.12994288566041901"/>
                </c:manualLayout>
              </c:layout>
              <c:numFmt formatCode="General" sourceLinked="0"/>
            </c:trendlineLbl>
          </c:trendline>
          <c:xVal>
            <c:numRef>
              <c:f>'Mosher Water Samples 0.2 18'!$I$11:$I$28</c:f>
              <c:numCache>
                <c:formatCode>General</c:formatCode>
                <c:ptCount val="18"/>
                <c:pt idx="0">
                  <c:v>3</c:v>
                </c:pt>
                <c:pt idx="1">
                  <c:v>3</c:v>
                </c:pt>
                <c:pt idx="2">
                  <c:v>3</c:v>
                </c:pt>
                <c:pt idx="3">
                  <c:v>6</c:v>
                </c:pt>
                <c:pt idx="4">
                  <c:v>6</c:v>
                </c:pt>
                <c:pt idx="5">
                  <c:v>6</c:v>
                </c:pt>
                <c:pt idx="6">
                  <c:v>12</c:v>
                </c:pt>
                <c:pt idx="7">
                  <c:v>12</c:v>
                </c:pt>
                <c:pt idx="8">
                  <c:v>12</c:v>
                </c:pt>
                <c:pt idx="9">
                  <c:v>24</c:v>
                </c:pt>
                <c:pt idx="10">
                  <c:v>24</c:v>
                </c:pt>
                <c:pt idx="11">
                  <c:v>24</c:v>
                </c:pt>
                <c:pt idx="12">
                  <c:v>36</c:v>
                </c:pt>
                <c:pt idx="13">
                  <c:v>36</c:v>
                </c:pt>
                <c:pt idx="14">
                  <c:v>36</c:v>
                </c:pt>
                <c:pt idx="15">
                  <c:v>48</c:v>
                </c:pt>
                <c:pt idx="16">
                  <c:v>48</c:v>
                </c:pt>
                <c:pt idx="17">
                  <c:v>48</c:v>
                </c:pt>
              </c:numCache>
            </c:numRef>
          </c:xVal>
          <c:yVal>
            <c:numRef>
              <c:f>'Mosher Water Samples 0.2 18'!$H$11:$H$28</c:f>
              <c:numCache>
                <c:formatCode>0.000</c:formatCode>
                <c:ptCount val="18"/>
                <c:pt idx="0">
                  <c:v>0.48475080585172331</c:v>
                </c:pt>
                <c:pt idx="1">
                  <c:v>0.34740474419373502</c:v>
                </c:pt>
                <c:pt idx="2">
                  <c:v>0.39587982477890743</c:v>
                </c:pt>
                <c:pt idx="3">
                  <c:v>0.24237540292586165</c:v>
                </c:pt>
                <c:pt idx="4">
                  <c:v>0.2827713034135052</c:v>
                </c:pt>
                <c:pt idx="5">
                  <c:v>0.29892966360856266</c:v>
                </c:pt>
                <c:pt idx="6">
                  <c:v>0.25853376312091908</c:v>
                </c:pt>
                <c:pt idx="7">
                  <c:v>0.25045458302339035</c:v>
                </c:pt>
                <c:pt idx="8">
                  <c:v>0.27469212331597653</c:v>
                </c:pt>
                <c:pt idx="9">
                  <c:v>0.33124638399867762</c:v>
                </c:pt>
                <c:pt idx="10">
                  <c:v>0.34740474419373502</c:v>
                </c:pt>
                <c:pt idx="11">
                  <c:v>0.35548392429126374</c:v>
                </c:pt>
                <c:pt idx="12">
                  <c:v>0.34740474419373502</c:v>
                </c:pt>
                <c:pt idx="13">
                  <c:v>0.29892966360856266</c:v>
                </c:pt>
                <c:pt idx="14">
                  <c:v>0.42819654516902222</c:v>
                </c:pt>
                <c:pt idx="15">
                  <c:v>0.30700884370609138</c:v>
                </c:pt>
                <c:pt idx="16">
                  <c:v>0.36356310438879241</c:v>
                </c:pt>
                <c:pt idx="17">
                  <c:v>0.33124638399867762</c:v>
                </c:pt>
              </c:numCache>
            </c:numRef>
          </c:yVal>
          <c:smooth val="0"/>
          <c:extLst>
            <c:ext xmlns:c16="http://schemas.microsoft.com/office/drawing/2014/chart" uri="{C3380CC4-5D6E-409C-BE32-E72D297353CC}">
              <c16:uniqueId val="{00000002-214D-4D41-A9FE-FC4266135209}"/>
            </c:ext>
          </c:extLst>
        </c:ser>
        <c:dLbls>
          <c:showLegendKey val="0"/>
          <c:showVal val="0"/>
          <c:showCatName val="0"/>
          <c:showSerName val="0"/>
          <c:showPercent val="0"/>
          <c:showBubbleSize val="0"/>
        </c:dLbls>
        <c:axId val="-2139263176"/>
        <c:axId val="-2139719080"/>
      </c:scatterChart>
      <c:valAx>
        <c:axId val="-2139263176"/>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39719080"/>
        <c:crosses val="autoZero"/>
        <c:crossBetween val="midCat"/>
      </c:valAx>
      <c:valAx>
        <c:axId val="-2139719080"/>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39263176"/>
        <c:crosses val="autoZero"/>
        <c:crossBetween val="midCat"/>
      </c:valAx>
    </c:plotArea>
    <c:legend>
      <c:legendPos val="r"/>
      <c:legendEntry>
        <c:idx val="2"/>
        <c:delete val="1"/>
      </c:legendEntry>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0"/>
          </c:trendline>
          <c:trendline>
            <c:trendlineType val="linear"/>
            <c:dispRSqr val="0"/>
            <c:dispEq val="1"/>
            <c:trendlineLbl>
              <c:layout>
                <c:manualLayout>
                  <c:x val="0.36217482543455598"/>
                  <c:y val="-0.12994288566041901"/>
                </c:manualLayout>
              </c:layout>
              <c:numFmt formatCode="General" sourceLinked="0"/>
            </c:trendlineLbl>
          </c:trendline>
          <c:xVal>
            <c:numRef>
              <c:f>'Mosher Water Samples 0.2 18'!$I$11:$I$28</c:f>
              <c:numCache>
                <c:formatCode>General</c:formatCode>
                <c:ptCount val="18"/>
                <c:pt idx="0">
                  <c:v>3</c:v>
                </c:pt>
                <c:pt idx="1">
                  <c:v>3</c:v>
                </c:pt>
                <c:pt idx="2">
                  <c:v>3</c:v>
                </c:pt>
                <c:pt idx="3">
                  <c:v>6</c:v>
                </c:pt>
                <c:pt idx="4">
                  <c:v>6</c:v>
                </c:pt>
                <c:pt idx="5">
                  <c:v>6</c:v>
                </c:pt>
                <c:pt idx="6">
                  <c:v>12</c:v>
                </c:pt>
                <c:pt idx="7">
                  <c:v>12</c:v>
                </c:pt>
                <c:pt idx="8">
                  <c:v>12</c:v>
                </c:pt>
                <c:pt idx="9">
                  <c:v>24</c:v>
                </c:pt>
                <c:pt idx="10">
                  <c:v>24</c:v>
                </c:pt>
                <c:pt idx="11">
                  <c:v>24</c:v>
                </c:pt>
                <c:pt idx="12">
                  <c:v>36</c:v>
                </c:pt>
                <c:pt idx="13">
                  <c:v>36</c:v>
                </c:pt>
                <c:pt idx="14">
                  <c:v>36</c:v>
                </c:pt>
                <c:pt idx="15">
                  <c:v>48</c:v>
                </c:pt>
                <c:pt idx="16">
                  <c:v>48</c:v>
                </c:pt>
                <c:pt idx="17">
                  <c:v>48</c:v>
                </c:pt>
              </c:numCache>
            </c:numRef>
          </c:xVal>
          <c:yVal>
            <c:numRef>
              <c:f>'Mosher Water Samples 0.2 18'!$E$11:$E$28</c:f>
              <c:numCache>
                <c:formatCode>0</c:formatCode>
                <c:ptCount val="18"/>
                <c:pt idx="0">
                  <c:v>484.75080585172333</c:v>
                </c:pt>
                <c:pt idx="1">
                  <c:v>347.40474419373504</c:v>
                </c:pt>
                <c:pt idx="2">
                  <c:v>395.87982477890745</c:v>
                </c:pt>
                <c:pt idx="3">
                  <c:v>242.37540292586166</c:v>
                </c:pt>
                <c:pt idx="4">
                  <c:v>282.77130341350522</c:v>
                </c:pt>
                <c:pt idx="5">
                  <c:v>298.92966360856263</c:v>
                </c:pt>
                <c:pt idx="6">
                  <c:v>258.5337631209191</c:v>
                </c:pt>
                <c:pt idx="7">
                  <c:v>250.45458302339034</c:v>
                </c:pt>
                <c:pt idx="8">
                  <c:v>274.69212331597652</c:v>
                </c:pt>
                <c:pt idx="9">
                  <c:v>331.24638399867763</c:v>
                </c:pt>
                <c:pt idx="10">
                  <c:v>347.40474419373504</c:v>
                </c:pt>
                <c:pt idx="11">
                  <c:v>355.48392429126375</c:v>
                </c:pt>
                <c:pt idx="12">
                  <c:v>347.40474419373504</c:v>
                </c:pt>
                <c:pt idx="13">
                  <c:v>298.92966360856263</c:v>
                </c:pt>
                <c:pt idx="14">
                  <c:v>428.19654516902222</c:v>
                </c:pt>
                <c:pt idx="15">
                  <c:v>307.0088437060914</c:v>
                </c:pt>
                <c:pt idx="16">
                  <c:v>363.5631043887924</c:v>
                </c:pt>
                <c:pt idx="17">
                  <c:v>331.24638399867763</c:v>
                </c:pt>
              </c:numCache>
            </c:numRef>
          </c:yVal>
          <c:smooth val="0"/>
          <c:extLst>
            <c:ext xmlns:c16="http://schemas.microsoft.com/office/drawing/2014/chart" uri="{C3380CC4-5D6E-409C-BE32-E72D297353CC}">
              <c16:uniqueId val="{00000002-BB65-8746-B24E-C14105BA582C}"/>
            </c:ext>
          </c:extLst>
        </c:ser>
        <c:dLbls>
          <c:showLegendKey val="0"/>
          <c:showVal val="0"/>
          <c:showCatName val="0"/>
          <c:showSerName val="0"/>
          <c:showPercent val="0"/>
          <c:showBubbleSize val="0"/>
        </c:dLbls>
        <c:axId val="-2141178568"/>
        <c:axId val="2137394872"/>
      </c:scatterChart>
      <c:valAx>
        <c:axId val="-2141178568"/>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37394872"/>
        <c:crosses val="autoZero"/>
        <c:crossBetween val="midCat"/>
      </c:valAx>
      <c:valAx>
        <c:axId val="2137394872"/>
        <c:scaling>
          <c:orientation val="minMax"/>
        </c:scaling>
        <c:delete val="0"/>
        <c:axPos val="l"/>
        <c:majorGridlines/>
        <c:title>
          <c:tx>
            <c:rich>
              <a:bodyPr rot="-5400000" vert="horz"/>
              <a:lstStyle/>
              <a:p>
                <a:pPr>
                  <a:defRPr/>
                </a:pPr>
                <a:r>
                  <a:rPr lang="en-US"/>
                  <a:t>ng/L</a:t>
                </a:r>
              </a:p>
            </c:rich>
          </c:tx>
          <c:overlay val="0"/>
        </c:title>
        <c:numFmt formatCode="0" sourceLinked="1"/>
        <c:majorTickMark val="out"/>
        <c:minorTickMark val="none"/>
        <c:tickLblPos val="nextTo"/>
        <c:crossAx val="-2141178568"/>
        <c:crosses val="autoZero"/>
        <c:crossBetween val="midCat"/>
      </c:valAx>
    </c:plotArea>
    <c:legend>
      <c:legendPos val="r"/>
      <c:legendEntry>
        <c:idx val="2"/>
        <c:delete val="1"/>
      </c:legendEntry>
      <c:overlay val="0"/>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xVal>
            <c:numRef>
              <c:f>'Mosher TotalsMetabolites 1.0 18'!$G$6:$G$23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TotalsMetabolites 1.0 18'!$C$6:$C$23</c:f>
              <c:numCache>
                <c:formatCode>0</c:formatCode>
                <c:ptCount val="18"/>
                <c:pt idx="0">
                  <c:v>1778.3223231432005</c:v>
                </c:pt>
                <c:pt idx="1">
                  <c:v>1650.2155092824687</c:v>
                </c:pt>
                <c:pt idx="2">
                  <c:v>1714.9670636472088</c:v>
                </c:pt>
                <c:pt idx="3">
                  <c:v>1973.8356166417418</c:v>
                </c:pt>
                <c:pt idx="4">
                  <c:v>3049.6060086446641</c:v>
                </c:pt>
                <c:pt idx="5">
                  <c:v>1605.7997709373851</c:v>
                </c:pt>
                <c:pt idx="6">
                  <c:v>3549.0683999858443</c:v>
                </c:pt>
                <c:pt idx="7">
                  <c:v>2829.9448518415534</c:v>
                </c:pt>
                <c:pt idx="8">
                  <c:v>2528.3081246383995</c:v>
                </c:pt>
                <c:pt idx="9">
                  <c:v>3721.3193176495961</c:v>
                </c:pt>
                <c:pt idx="10">
                  <c:v>4445.9393436104874</c:v>
                </c:pt>
                <c:pt idx="11">
                  <c:v>3899.5509270738594</c:v>
                </c:pt>
                <c:pt idx="12">
                  <c:v>6056.7788860183218</c:v>
                </c:pt>
                <c:pt idx="13">
                  <c:v>6695.6865122002582</c:v>
                </c:pt>
                <c:pt idx="14">
                  <c:v>4581.6109920162935</c:v>
                </c:pt>
                <c:pt idx="15">
                  <c:v>6639.217386268504</c:v>
                </c:pt>
                <c:pt idx="16">
                  <c:v>8193.7783967844789</c:v>
                </c:pt>
                <c:pt idx="17">
                  <c:v>5983.9202041036833</c:v>
                </c:pt>
              </c:numCache>
            </c:numRef>
          </c:yVal>
          <c:smooth val="0"/>
          <c:extLst>
            <c:ext xmlns:c16="http://schemas.microsoft.com/office/drawing/2014/chart" uri="{C3380CC4-5D6E-409C-BE32-E72D297353CC}">
              <c16:uniqueId val="{00000000-1413-C04C-9775-4CCD67D664B6}"/>
            </c:ext>
          </c:extLst>
        </c:ser>
        <c:dLbls>
          <c:showLegendKey val="0"/>
          <c:showVal val="0"/>
          <c:showCatName val="0"/>
          <c:showSerName val="0"/>
          <c:showPercent val="0"/>
          <c:showBubbleSize val="0"/>
        </c:dLbls>
        <c:axId val="2136419880"/>
        <c:axId val="2136412248"/>
      </c:scatterChart>
      <c:valAx>
        <c:axId val="2136419880"/>
        <c:scaling>
          <c:orientation val="minMax"/>
        </c:scaling>
        <c:delete val="0"/>
        <c:axPos val="b"/>
        <c:numFmt formatCode="General" sourceLinked="1"/>
        <c:majorTickMark val="out"/>
        <c:minorTickMark val="none"/>
        <c:tickLblPos val="nextTo"/>
        <c:crossAx val="2136412248"/>
        <c:crosses val="autoZero"/>
        <c:crossBetween val="midCat"/>
      </c:valAx>
      <c:valAx>
        <c:axId val="2136412248"/>
        <c:scaling>
          <c:orientation val="minMax"/>
        </c:scaling>
        <c:delete val="0"/>
        <c:axPos val="l"/>
        <c:majorGridlines/>
        <c:numFmt formatCode="0" sourceLinked="1"/>
        <c:majorTickMark val="out"/>
        <c:minorTickMark val="none"/>
        <c:tickLblPos val="nextTo"/>
        <c:crossAx val="2136419880"/>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1.0 18'!$I$11:$I$28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1.0 18'!$E$11:$E$28</c:f>
              <c:numCache>
                <c:formatCode>0</c:formatCode>
                <c:ptCount val="18"/>
                <c:pt idx="0">
                  <c:v>452.43408546160839</c:v>
                </c:pt>
                <c:pt idx="1">
                  <c:v>444.35490536407968</c:v>
                </c:pt>
                <c:pt idx="2">
                  <c:v>460.51326555913715</c:v>
                </c:pt>
                <c:pt idx="3">
                  <c:v>347.40474419373504</c:v>
                </c:pt>
                <c:pt idx="4">
                  <c:v>339.32556409620628</c:v>
                </c:pt>
                <c:pt idx="5">
                  <c:v>420.11736507149351</c:v>
                </c:pt>
                <c:pt idx="6">
                  <c:v>274.69212331597652</c:v>
                </c:pt>
                <c:pt idx="7">
                  <c:v>412.03818497396475</c:v>
                </c:pt>
                <c:pt idx="8">
                  <c:v>331.24638399867763</c:v>
                </c:pt>
                <c:pt idx="9">
                  <c:v>290.85048351103393</c:v>
                </c:pt>
                <c:pt idx="10">
                  <c:v>290.85048351103393</c:v>
                </c:pt>
                <c:pt idx="11">
                  <c:v>355.48392429126375</c:v>
                </c:pt>
                <c:pt idx="12">
                  <c:v>307.0088437060914</c:v>
                </c:pt>
                <c:pt idx="13">
                  <c:v>331.24638399867763</c:v>
                </c:pt>
                <c:pt idx="14">
                  <c:v>339.32556409620628</c:v>
                </c:pt>
                <c:pt idx="15">
                  <c:v>323.16720390114881</c:v>
                </c:pt>
                <c:pt idx="16">
                  <c:v>315.08802380362016</c:v>
                </c:pt>
                <c:pt idx="17">
                  <c:v>436.27572526655098</c:v>
                </c:pt>
              </c:numCache>
            </c:numRef>
          </c:yVal>
          <c:smooth val="0"/>
          <c:extLst>
            <c:ext xmlns:c16="http://schemas.microsoft.com/office/drawing/2014/chart" uri="{C3380CC4-5D6E-409C-BE32-E72D297353CC}">
              <c16:uniqueId val="{00000001-7F29-2D4F-9298-EA07D909E3EC}"/>
            </c:ext>
          </c:extLst>
        </c:ser>
        <c:dLbls>
          <c:showLegendKey val="0"/>
          <c:showVal val="0"/>
          <c:showCatName val="0"/>
          <c:showSerName val="0"/>
          <c:showPercent val="0"/>
          <c:showBubbleSize val="0"/>
        </c:dLbls>
        <c:axId val="2116643976"/>
        <c:axId val="2104679112"/>
      </c:scatterChart>
      <c:valAx>
        <c:axId val="2116643976"/>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04679112"/>
        <c:crosses val="autoZero"/>
        <c:crossBetween val="midCat"/>
      </c:valAx>
      <c:valAx>
        <c:axId val="2104679112"/>
        <c:scaling>
          <c:orientation val="minMax"/>
        </c:scaling>
        <c:delete val="0"/>
        <c:axPos val="l"/>
        <c:majorGridlines/>
        <c:title>
          <c:tx>
            <c:rich>
              <a:bodyPr rot="-5400000" vert="horz"/>
              <a:lstStyle/>
              <a:p>
                <a:pPr>
                  <a:defRPr/>
                </a:pPr>
                <a:r>
                  <a:rPr lang="en-US"/>
                  <a:t>ng/mL</a:t>
                </a:r>
              </a:p>
            </c:rich>
          </c:tx>
          <c:overlay val="0"/>
        </c:title>
        <c:numFmt formatCode="0" sourceLinked="1"/>
        <c:majorTickMark val="out"/>
        <c:minorTickMark val="none"/>
        <c:tickLblPos val="nextTo"/>
        <c:crossAx val="2116643976"/>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1.0 18'!$I$11:$I$28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1.0 18'!$H$11:$H$28</c:f>
              <c:numCache>
                <c:formatCode>0.000</c:formatCode>
                <c:ptCount val="18"/>
                <c:pt idx="0">
                  <c:v>0.4524340854616084</c:v>
                </c:pt>
                <c:pt idx="1">
                  <c:v>0.44435490536407968</c:v>
                </c:pt>
                <c:pt idx="2">
                  <c:v>0.46051326555913713</c:v>
                </c:pt>
                <c:pt idx="3">
                  <c:v>0.34740474419373502</c:v>
                </c:pt>
                <c:pt idx="4">
                  <c:v>0.33932556409620629</c:v>
                </c:pt>
                <c:pt idx="5">
                  <c:v>0.4201173650714935</c:v>
                </c:pt>
                <c:pt idx="6">
                  <c:v>0.27469212331597653</c:v>
                </c:pt>
                <c:pt idx="7">
                  <c:v>0.41203818497396477</c:v>
                </c:pt>
                <c:pt idx="8">
                  <c:v>0.33124638399867762</c:v>
                </c:pt>
                <c:pt idx="9">
                  <c:v>0.29085048351103393</c:v>
                </c:pt>
                <c:pt idx="10">
                  <c:v>0.29085048351103393</c:v>
                </c:pt>
                <c:pt idx="11">
                  <c:v>0.35548392429126374</c:v>
                </c:pt>
                <c:pt idx="12">
                  <c:v>0.30700884370609138</c:v>
                </c:pt>
                <c:pt idx="13">
                  <c:v>0.33124638399867762</c:v>
                </c:pt>
                <c:pt idx="14">
                  <c:v>0.33932556409620629</c:v>
                </c:pt>
                <c:pt idx="15">
                  <c:v>0.32316720390114884</c:v>
                </c:pt>
                <c:pt idx="16">
                  <c:v>0.31508802380362017</c:v>
                </c:pt>
                <c:pt idx="17">
                  <c:v>0.43627572526655095</c:v>
                </c:pt>
              </c:numCache>
            </c:numRef>
          </c:yVal>
          <c:smooth val="0"/>
          <c:extLst>
            <c:ext xmlns:c16="http://schemas.microsoft.com/office/drawing/2014/chart" uri="{C3380CC4-5D6E-409C-BE32-E72D297353CC}">
              <c16:uniqueId val="{00000001-E027-0246-AA94-BBE6F7A5F0EF}"/>
            </c:ext>
          </c:extLst>
        </c:ser>
        <c:dLbls>
          <c:showLegendKey val="0"/>
          <c:showVal val="0"/>
          <c:showCatName val="0"/>
          <c:showSerName val="0"/>
          <c:showPercent val="0"/>
          <c:showBubbleSize val="0"/>
        </c:dLbls>
        <c:axId val="-2143412088"/>
        <c:axId val="2104520776"/>
      </c:scatterChart>
      <c:valAx>
        <c:axId val="-2143412088"/>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04520776"/>
        <c:crosses val="autoZero"/>
        <c:crossBetween val="midCat"/>
      </c:valAx>
      <c:valAx>
        <c:axId val="2104520776"/>
        <c:scaling>
          <c:orientation val="minMax"/>
        </c:scaling>
        <c:delete val="0"/>
        <c:axPos val="l"/>
        <c:majorGridlines/>
        <c:title>
          <c:tx>
            <c:rich>
              <a:bodyPr rot="-5400000" vert="horz"/>
              <a:lstStyle/>
              <a:p>
                <a:pPr>
                  <a:defRPr/>
                </a:pPr>
                <a:r>
                  <a:rPr lang="en-US"/>
                  <a:t>ng/L</a:t>
                </a:r>
              </a:p>
            </c:rich>
          </c:tx>
          <c:overlay val="0"/>
        </c:title>
        <c:numFmt formatCode="0.000" sourceLinked="1"/>
        <c:majorTickMark val="out"/>
        <c:minorTickMark val="none"/>
        <c:tickLblPos val="nextTo"/>
        <c:crossAx val="-2143412088"/>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Mosher Slough 6.0 ppt 18</a:t>
            </a:r>
            <a:r>
              <a:rPr lang="it-IT" sz="1800" b="0" i="0" u="none" strike="noStrike" baseline="0">
                <a:effectLst/>
              </a:rPr>
              <a:t>°</a:t>
            </a:r>
            <a:r>
              <a:rPr lang="it-IT" sz="1800" b="1" i="0" u="none" strike="noStrike" baseline="0"/>
              <a:t>C</a:t>
            </a:r>
            <a:endParaRPr lang="en-US"/>
          </a:p>
        </c:rich>
      </c:tx>
      <c:overlay val="0"/>
    </c:title>
    <c:autoTitleDeleted val="0"/>
    <c:plotArea>
      <c:layout/>
      <c:scatterChart>
        <c:scatterStyle val="lineMarker"/>
        <c:varyColors val="0"/>
        <c:ser>
          <c:idx val="0"/>
          <c:order val="0"/>
          <c:tx>
            <c:v>Total</c:v>
          </c:tx>
          <c:spPr>
            <a:ln w="28575">
              <a:noFill/>
            </a:ln>
          </c:spPr>
          <c:marker>
            <c:symbol val="circle"/>
            <c:size val="5"/>
            <c:spPr>
              <a:solidFill>
                <a:srgbClr val="3366FF"/>
              </a:solidFill>
            </c:spPr>
          </c:marker>
          <c:xVal>
            <c:numRef>
              <c:f>'Mosher TotalsMetabolites 6.0 18'!$G$3:$G$23</c:f>
              <c:numCache>
                <c:formatCode>General</c:formatCode>
                <c:ptCount val="21"/>
                <c:pt idx="0">
                  <c:v>0</c:v>
                </c:pt>
                <c:pt idx="1">
                  <c:v>0</c:v>
                </c:pt>
                <c:pt idx="2">
                  <c:v>0</c:v>
                </c:pt>
                <c:pt idx="3">
                  <c:v>3</c:v>
                </c:pt>
                <c:pt idx="4">
                  <c:v>3</c:v>
                </c:pt>
                <c:pt idx="5">
                  <c:v>3</c:v>
                </c:pt>
                <c:pt idx="6">
                  <c:v>6</c:v>
                </c:pt>
                <c:pt idx="7">
                  <c:v>6</c:v>
                </c:pt>
                <c:pt idx="8">
                  <c:v>6</c:v>
                </c:pt>
                <c:pt idx="9">
                  <c:v>12</c:v>
                </c:pt>
                <c:pt idx="10">
                  <c:v>12</c:v>
                </c:pt>
                <c:pt idx="11">
                  <c:v>12</c:v>
                </c:pt>
                <c:pt idx="12">
                  <c:v>16</c:v>
                </c:pt>
                <c:pt idx="13">
                  <c:v>16</c:v>
                </c:pt>
                <c:pt idx="14">
                  <c:v>16</c:v>
                </c:pt>
                <c:pt idx="15">
                  <c:v>24</c:v>
                </c:pt>
                <c:pt idx="16">
                  <c:v>24</c:v>
                </c:pt>
                <c:pt idx="17">
                  <c:v>24</c:v>
                </c:pt>
                <c:pt idx="18">
                  <c:v>36</c:v>
                </c:pt>
                <c:pt idx="19">
                  <c:v>36</c:v>
                </c:pt>
                <c:pt idx="20">
                  <c:v>36</c:v>
                </c:pt>
              </c:numCache>
            </c:numRef>
          </c:xVal>
          <c:yVal>
            <c:numRef>
              <c:f>'Mosher TotalsMetabolites 6.0 18'!$M$32:$M$52</c:f>
              <c:numCache>
                <c:formatCode>General</c:formatCode>
                <c:ptCount val="21"/>
                <c:pt idx="0">
                  <c:v>0</c:v>
                </c:pt>
                <c:pt idx="1">
                  <c:v>0</c:v>
                </c:pt>
                <c:pt idx="2">
                  <c:v>0</c:v>
                </c:pt>
                <c:pt idx="3">
                  <c:v>1339</c:v>
                </c:pt>
                <c:pt idx="4">
                  <c:v>1379</c:v>
                </c:pt>
                <c:pt idx="5">
                  <c:v>1524</c:v>
                </c:pt>
                <c:pt idx="6">
                  <c:v>2307</c:v>
                </c:pt>
                <c:pt idx="7">
                  <c:v>1342</c:v>
                </c:pt>
                <c:pt idx="8">
                  <c:v>1742</c:v>
                </c:pt>
                <c:pt idx="9">
                  <c:v>3597</c:v>
                </c:pt>
                <c:pt idx="10">
                  <c:v>2276</c:v>
                </c:pt>
                <c:pt idx="11">
                  <c:v>2880</c:v>
                </c:pt>
                <c:pt idx="12">
                  <c:v>3488</c:v>
                </c:pt>
                <c:pt idx="13">
                  <c:v>3845</c:v>
                </c:pt>
                <c:pt idx="14">
                  <c:v>4859</c:v>
                </c:pt>
                <c:pt idx="15">
                  <c:v>4740</c:v>
                </c:pt>
                <c:pt idx="16">
                  <c:v>3819</c:v>
                </c:pt>
                <c:pt idx="17">
                  <c:v>5680</c:v>
                </c:pt>
                <c:pt idx="18">
                  <c:v>5489</c:v>
                </c:pt>
                <c:pt idx="19">
                  <c:v>4848</c:v>
                </c:pt>
                <c:pt idx="20">
                  <c:v>6499</c:v>
                </c:pt>
              </c:numCache>
            </c:numRef>
          </c:yVal>
          <c:smooth val="0"/>
          <c:extLst>
            <c:ext xmlns:c16="http://schemas.microsoft.com/office/drawing/2014/chart" uri="{C3380CC4-5D6E-409C-BE32-E72D297353CC}">
              <c16:uniqueId val="{00000000-C5C8-D24D-9B9E-CDA9CA398232}"/>
            </c:ext>
          </c:extLst>
        </c:ser>
        <c:ser>
          <c:idx val="1"/>
          <c:order val="1"/>
          <c:tx>
            <c:v>Parent</c:v>
          </c:tx>
          <c:spPr>
            <a:ln w="28575">
              <a:noFill/>
            </a:ln>
          </c:spPr>
          <c:marker>
            <c:symbol val="square"/>
            <c:size val="5"/>
            <c:spPr>
              <a:solidFill>
                <a:srgbClr val="FF0000"/>
              </a:solidFill>
            </c:spPr>
          </c:marker>
          <c:xVal>
            <c:numRef>
              <c:f>'Mosher TotalsMetabolites 6.0 18'!$G$3:$G$23</c:f>
              <c:numCache>
                <c:formatCode>General</c:formatCode>
                <c:ptCount val="21"/>
                <c:pt idx="0">
                  <c:v>0</c:v>
                </c:pt>
                <c:pt idx="1">
                  <c:v>0</c:v>
                </c:pt>
                <c:pt idx="2">
                  <c:v>0</c:v>
                </c:pt>
                <c:pt idx="3">
                  <c:v>3</c:v>
                </c:pt>
                <c:pt idx="4">
                  <c:v>3</c:v>
                </c:pt>
                <c:pt idx="5">
                  <c:v>3</c:v>
                </c:pt>
                <c:pt idx="6">
                  <c:v>6</c:v>
                </c:pt>
                <c:pt idx="7">
                  <c:v>6</c:v>
                </c:pt>
                <c:pt idx="8">
                  <c:v>6</c:v>
                </c:pt>
                <c:pt idx="9">
                  <c:v>12</c:v>
                </c:pt>
                <c:pt idx="10">
                  <c:v>12</c:v>
                </c:pt>
                <c:pt idx="11">
                  <c:v>12</c:v>
                </c:pt>
                <c:pt idx="12">
                  <c:v>16</c:v>
                </c:pt>
                <c:pt idx="13">
                  <c:v>16</c:v>
                </c:pt>
                <c:pt idx="14">
                  <c:v>16</c:v>
                </c:pt>
                <c:pt idx="15">
                  <c:v>24</c:v>
                </c:pt>
                <c:pt idx="16">
                  <c:v>24</c:v>
                </c:pt>
                <c:pt idx="17">
                  <c:v>24</c:v>
                </c:pt>
                <c:pt idx="18">
                  <c:v>36</c:v>
                </c:pt>
                <c:pt idx="19">
                  <c:v>36</c:v>
                </c:pt>
                <c:pt idx="20">
                  <c:v>36</c:v>
                </c:pt>
              </c:numCache>
            </c:numRef>
          </c:xVal>
          <c:yVal>
            <c:numRef>
              <c:f>'Mosher TotalsMetabolites 6.0 18'!$N$32:$N$52</c:f>
              <c:numCache>
                <c:formatCode>General</c:formatCode>
                <c:ptCount val="21"/>
                <c:pt idx="0">
                  <c:v>0</c:v>
                </c:pt>
                <c:pt idx="1">
                  <c:v>0</c:v>
                </c:pt>
                <c:pt idx="2">
                  <c:v>0</c:v>
                </c:pt>
                <c:pt idx="3" formatCode="0">
                  <c:v>1272.05</c:v>
                </c:pt>
                <c:pt idx="4" formatCode="0">
                  <c:v>1310.05</c:v>
                </c:pt>
                <c:pt idx="5" formatCode="0">
                  <c:v>1447.8</c:v>
                </c:pt>
                <c:pt idx="6" formatCode="0">
                  <c:v>2053.23</c:v>
                </c:pt>
                <c:pt idx="7" formatCode="0">
                  <c:v>1194.3800000000001</c:v>
                </c:pt>
                <c:pt idx="8" formatCode="0">
                  <c:v>1550.38</c:v>
                </c:pt>
                <c:pt idx="9" formatCode="0">
                  <c:v>2949.54</c:v>
                </c:pt>
                <c:pt idx="10" formatCode="0">
                  <c:v>1866.32</c:v>
                </c:pt>
                <c:pt idx="11" formatCode="0">
                  <c:v>2361.6</c:v>
                </c:pt>
                <c:pt idx="12" formatCode="0">
                  <c:v>2650.88</c:v>
                </c:pt>
                <c:pt idx="13" formatCode="0">
                  <c:v>2922.2</c:v>
                </c:pt>
                <c:pt idx="14" formatCode="0">
                  <c:v>3692.84</c:v>
                </c:pt>
                <c:pt idx="15" formatCode="0">
                  <c:v>3081</c:v>
                </c:pt>
                <c:pt idx="16" formatCode="0">
                  <c:v>2482.35</c:v>
                </c:pt>
                <c:pt idx="17" formatCode="0">
                  <c:v>3692</c:v>
                </c:pt>
                <c:pt idx="18" formatCode="0">
                  <c:v>3238.5099999999998</c:v>
                </c:pt>
                <c:pt idx="19" formatCode="0">
                  <c:v>2860.3199999999997</c:v>
                </c:pt>
                <c:pt idx="20" formatCode="0">
                  <c:v>3834.41</c:v>
                </c:pt>
              </c:numCache>
            </c:numRef>
          </c:yVal>
          <c:smooth val="0"/>
          <c:extLst>
            <c:ext xmlns:c16="http://schemas.microsoft.com/office/drawing/2014/chart" uri="{C3380CC4-5D6E-409C-BE32-E72D297353CC}">
              <c16:uniqueId val="{00000001-C5C8-D24D-9B9E-CDA9CA398232}"/>
            </c:ext>
          </c:extLst>
        </c:ser>
        <c:ser>
          <c:idx val="2"/>
          <c:order val="2"/>
          <c:tx>
            <c:v>Metabolite</c:v>
          </c:tx>
          <c:spPr>
            <a:ln w="28575">
              <a:noFill/>
            </a:ln>
          </c:spPr>
          <c:marker>
            <c:symbol val="triangle"/>
            <c:size val="5"/>
            <c:spPr>
              <a:solidFill>
                <a:srgbClr val="008000"/>
              </a:solidFill>
            </c:spPr>
          </c:marker>
          <c:xVal>
            <c:numRef>
              <c:f>'Mosher TotalsMetabolites 6.0 18'!$G$3:$G$23</c:f>
              <c:numCache>
                <c:formatCode>General</c:formatCode>
                <c:ptCount val="21"/>
                <c:pt idx="0">
                  <c:v>0</c:v>
                </c:pt>
                <c:pt idx="1">
                  <c:v>0</c:v>
                </c:pt>
                <c:pt idx="2">
                  <c:v>0</c:v>
                </c:pt>
                <c:pt idx="3">
                  <c:v>3</c:v>
                </c:pt>
                <c:pt idx="4">
                  <c:v>3</c:v>
                </c:pt>
                <c:pt idx="5">
                  <c:v>3</c:v>
                </c:pt>
                <c:pt idx="6">
                  <c:v>6</c:v>
                </c:pt>
                <c:pt idx="7">
                  <c:v>6</c:v>
                </c:pt>
                <c:pt idx="8">
                  <c:v>6</c:v>
                </c:pt>
                <c:pt idx="9">
                  <c:v>12</c:v>
                </c:pt>
                <c:pt idx="10">
                  <c:v>12</c:v>
                </c:pt>
                <c:pt idx="11">
                  <c:v>12</c:v>
                </c:pt>
                <c:pt idx="12">
                  <c:v>16</c:v>
                </c:pt>
                <c:pt idx="13">
                  <c:v>16</c:v>
                </c:pt>
                <c:pt idx="14">
                  <c:v>16</c:v>
                </c:pt>
                <c:pt idx="15">
                  <c:v>24</c:v>
                </c:pt>
                <c:pt idx="16">
                  <c:v>24</c:v>
                </c:pt>
                <c:pt idx="17">
                  <c:v>24</c:v>
                </c:pt>
                <c:pt idx="18">
                  <c:v>36</c:v>
                </c:pt>
                <c:pt idx="19">
                  <c:v>36</c:v>
                </c:pt>
                <c:pt idx="20">
                  <c:v>36</c:v>
                </c:pt>
              </c:numCache>
            </c:numRef>
          </c:xVal>
          <c:yVal>
            <c:numRef>
              <c:f>'Mosher TotalsMetabolites 6.0 18'!$O$32:$O$52</c:f>
              <c:numCache>
                <c:formatCode>General</c:formatCode>
                <c:ptCount val="21"/>
                <c:pt idx="0">
                  <c:v>0</c:v>
                </c:pt>
                <c:pt idx="1">
                  <c:v>0</c:v>
                </c:pt>
                <c:pt idx="2">
                  <c:v>0</c:v>
                </c:pt>
                <c:pt idx="3" formatCode="0">
                  <c:v>66.950000000000045</c:v>
                </c:pt>
                <c:pt idx="4" formatCode="0">
                  <c:v>68.950000000000045</c:v>
                </c:pt>
                <c:pt idx="5" formatCode="0">
                  <c:v>76.200000000000045</c:v>
                </c:pt>
                <c:pt idx="6" formatCode="0">
                  <c:v>253.76999999999998</c:v>
                </c:pt>
                <c:pt idx="7" formatCode="0">
                  <c:v>147.61999999999989</c:v>
                </c:pt>
                <c:pt idx="8" formatCode="0">
                  <c:v>191.61999999999989</c:v>
                </c:pt>
                <c:pt idx="9" formatCode="0">
                  <c:v>647.46</c:v>
                </c:pt>
                <c:pt idx="10" formatCode="0">
                  <c:v>409.68000000000006</c:v>
                </c:pt>
                <c:pt idx="11" formatCode="0">
                  <c:v>518.40000000000009</c:v>
                </c:pt>
                <c:pt idx="12" formatCode="0">
                  <c:v>837.11999999999989</c:v>
                </c:pt>
                <c:pt idx="13" formatCode="0">
                  <c:v>922.80000000000018</c:v>
                </c:pt>
                <c:pt idx="14" formatCode="0">
                  <c:v>1166.1599999999999</c:v>
                </c:pt>
                <c:pt idx="15" formatCode="0">
                  <c:v>1659</c:v>
                </c:pt>
                <c:pt idx="16" formatCode="0">
                  <c:v>1336.65</c:v>
                </c:pt>
                <c:pt idx="17" formatCode="0">
                  <c:v>1988</c:v>
                </c:pt>
                <c:pt idx="18" formatCode="0">
                  <c:v>2250.4900000000002</c:v>
                </c:pt>
                <c:pt idx="19" formatCode="0">
                  <c:v>1987.6800000000003</c:v>
                </c:pt>
                <c:pt idx="20" formatCode="0">
                  <c:v>2664.59</c:v>
                </c:pt>
              </c:numCache>
            </c:numRef>
          </c:yVal>
          <c:smooth val="0"/>
          <c:extLst>
            <c:ext xmlns:c16="http://schemas.microsoft.com/office/drawing/2014/chart" uri="{C3380CC4-5D6E-409C-BE32-E72D297353CC}">
              <c16:uniqueId val="{00000002-C5C8-D24D-9B9E-CDA9CA398232}"/>
            </c:ext>
          </c:extLst>
        </c:ser>
        <c:ser>
          <c:idx val="3"/>
          <c:order val="3"/>
          <c:tx>
            <c:v>0-3</c:v>
          </c:tx>
          <c:spPr>
            <a:ln w="28575">
              <a:noFill/>
            </a:ln>
          </c:spPr>
          <c:marker>
            <c:symbol val="none"/>
          </c:marker>
          <c:trendline>
            <c:spPr>
              <a:ln>
                <a:solidFill>
                  <a:srgbClr val="3366FF"/>
                </a:solidFill>
              </a:ln>
            </c:spPr>
            <c:trendlineType val="linear"/>
            <c:dispRSqr val="0"/>
            <c:dispEq val="0"/>
          </c:trendline>
          <c:xVal>
            <c:numRef>
              <c:f>'Mosher TotalsMetabolites 6.0 18'!$I$16:$I$17</c:f>
              <c:numCache>
                <c:formatCode>General</c:formatCode>
                <c:ptCount val="2"/>
                <c:pt idx="0">
                  <c:v>0</c:v>
                </c:pt>
                <c:pt idx="1">
                  <c:v>3</c:v>
                </c:pt>
              </c:numCache>
            </c:numRef>
          </c:xVal>
          <c:yVal>
            <c:numRef>
              <c:f>'Mosher TotalsMetabolites 6.0 18'!$J$16:$J$17</c:f>
              <c:numCache>
                <c:formatCode>General</c:formatCode>
                <c:ptCount val="2"/>
                <c:pt idx="0">
                  <c:v>0</c:v>
                </c:pt>
                <c:pt idx="1">
                  <c:v>1414</c:v>
                </c:pt>
              </c:numCache>
            </c:numRef>
          </c:yVal>
          <c:smooth val="0"/>
          <c:extLst>
            <c:ext xmlns:c16="http://schemas.microsoft.com/office/drawing/2014/chart" uri="{C3380CC4-5D6E-409C-BE32-E72D297353CC}">
              <c16:uniqueId val="{00000004-C5C8-D24D-9B9E-CDA9CA398232}"/>
            </c:ext>
          </c:extLst>
        </c:ser>
        <c:ser>
          <c:idx val="4"/>
          <c:order val="4"/>
          <c:tx>
            <c:v>6-Mar</c:v>
          </c:tx>
          <c:spPr>
            <a:ln w="28575">
              <a:noFill/>
            </a:ln>
          </c:spPr>
          <c:marker>
            <c:symbol val="none"/>
          </c:marker>
          <c:trendline>
            <c:spPr>
              <a:ln>
                <a:solidFill>
                  <a:srgbClr val="3366FF"/>
                </a:solidFill>
              </a:ln>
            </c:spPr>
            <c:trendlineType val="linear"/>
            <c:dispRSqr val="0"/>
            <c:dispEq val="0"/>
          </c:trendline>
          <c:xVal>
            <c:numRef>
              <c:f>'Mosher TotalsMetabolites 6.0 18'!$I$17:$I$18</c:f>
              <c:numCache>
                <c:formatCode>General</c:formatCode>
                <c:ptCount val="2"/>
                <c:pt idx="0">
                  <c:v>3</c:v>
                </c:pt>
                <c:pt idx="1">
                  <c:v>6</c:v>
                </c:pt>
              </c:numCache>
            </c:numRef>
          </c:xVal>
          <c:yVal>
            <c:numRef>
              <c:f>'Mosher TotalsMetabolites 6.0 18'!$J$17:$J$18</c:f>
              <c:numCache>
                <c:formatCode>General</c:formatCode>
                <c:ptCount val="2"/>
                <c:pt idx="0">
                  <c:v>1414</c:v>
                </c:pt>
                <c:pt idx="1">
                  <c:v>1797</c:v>
                </c:pt>
              </c:numCache>
            </c:numRef>
          </c:yVal>
          <c:smooth val="0"/>
          <c:extLst>
            <c:ext xmlns:c16="http://schemas.microsoft.com/office/drawing/2014/chart" uri="{C3380CC4-5D6E-409C-BE32-E72D297353CC}">
              <c16:uniqueId val="{00000006-C5C8-D24D-9B9E-CDA9CA398232}"/>
            </c:ext>
          </c:extLst>
        </c:ser>
        <c:ser>
          <c:idx val="5"/>
          <c:order val="5"/>
          <c:tx>
            <c:v>12-Jun</c:v>
          </c:tx>
          <c:spPr>
            <a:ln w="28575">
              <a:noFill/>
            </a:ln>
          </c:spPr>
          <c:marker>
            <c:symbol val="none"/>
          </c:marker>
          <c:trendline>
            <c:spPr>
              <a:ln>
                <a:solidFill>
                  <a:srgbClr val="3366FF"/>
                </a:solidFill>
              </a:ln>
            </c:spPr>
            <c:trendlineType val="linear"/>
            <c:dispRSqr val="0"/>
            <c:dispEq val="0"/>
          </c:trendline>
          <c:xVal>
            <c:numRef>
              <c:f>'Mosher TotalsMetabolites 6.0 18'!$I$18:$I$19</c:f>
              <c:numCache>
                <c:formatCode>General</c:formatCode>
                <c:ptCount val="2"/>
                <c:pt idx="0">
                  <c:v>6</c:v>
                </c:pt>
                <c:pt idx="1">
                  <c:v>12</c:v>
                </c:pt>
              </c:numCache>
            </c:numRef>
          </c:xVal>
          <c:yVal>
            <c:numRef>
              <c:f>'Mosher TotalsMetabolites 6.0 18'!$J$18:$J$19</c:f>
              <c:numCache>
                <c:formatCode>General</c:formatCode>
                <c:ptCount val="2"/>
                <c:pt idx="0">
                  <c:v>1797</c:v>
                </c:pt>
                <c:pt idx="1">
                  <c:v>2918</c:v>
                </c:pt>
              </c:numCache>
            </c:numRef>
          </c:yVal>
          <c:smooth val="0"/>
          <c:extLst>
            <c:ext xmlns:c16="http://schemas.microsoft.com/office/drawing/2014/chart" uri="{C3380CC4-5D6E-409C-BE32-E72D297353CC}">
              <c16:uniqueId val="{00000008-C5C8-D24D-9B9E-CDA9CA398232}"/>
            </c:ext>
          </c:extLst>
        </c:ser>
        <c:ser>
          <c:idx val="6"/>
          <c:order val="6"/>
          <c:tx>
            <c:v>16-Dec</c:v>
          </c:tx>
          <c:spPr>
            <a:ln w="28575">
              <a:noFill/>
            </a:ln>
          </c:spPr>
          <c:marker>
            <c:symbol val="none"/>
          </c:marker>
          <c:trendline>
            <c:spPr>
              <a:ln>
                <a:solidFill>
                  <a:srgbClr val="3366FF"/>
                </a:solidFill>
              </a:ln>
            </c:spPr>
            <c:trendlineType val="linear"/>
            <c:dispRSqr val="0"/>
            <c:dispEq val="0"/>
          </c:trendline>
          <c:xVal>
            <c:numRef>
              <c:f>'Mosher TotalsMetabolites 6.0 18'!$I$19:$I$20</c:f>
              <c:numCache>
                <c:formatCode>General</c:formatCode>
                <c:ptCount val="2"/>
                <c:pt idx="0">
                  <c:v>12</c:v>
                </c:pt>
                <c:pt idx="1">
                  <c:v>16</c:v>
                </c:pt>
              </c:numCache>
            </c:numRef>
          </c:xVal>
          <c:yVal>
            <c:numRef>
              <c:f>'Mosher TotalsMetabolites 6.0 18'!$J$19:$J$20</c:f>
              <c:numCache>
                <c:formatCode>General</c:formatCode>
                <c:ptCount val="2"/>
                <c:pt idx="0">
                  <c:v>2918</c:v>
                </c:pt>
                <c:pt idx="1">
                  <c:v>4064</c:v>
                </c:pt>
              </c:numCache>
            </c:numRef>
          </c:yVal>
          <c:smooth val="0"/>
          <c:extLst>
            <c:ext xmlns:c16="http://schemas.microsoft.com/office/drawing/2014/chart" uri="{C3380CC4-5D6E-409C-BE32-E72D297353CC}">
              <c16:uniqueId val="{0000000A-C5C8-D24D-9B9E-CDA9CA398232}"/>
            </c:ext>
          </c:extLst>
        </c:ser>
        <c:ser>
          <c:idx val="7"/>
          <c:order val="7"/>
          <c:tx>
            <c:v>16-24</c:v>
          </c:tx>
          <c:spPr>
            <a:ln w="28575">
              <a:noFill/>
            </a:ln>
          </c:spPr>
          <c:marker>
            <c:symbol val="none"/>
          </c:marker>
          <c:trendline>
            <c:spPr>
              <a:ln>
                <a:solidFill>
                  <a:srgbClr val="3366FF"/>
                </a:solidFill>
              </a:ln>
            </c:spPr>
            <c:trendlineType val="linear"/>
            <c:dispRSqr val="0"/>
            <c:dispEq val="0"/>
          </c:trendline>
          <c:xVal>
            <c:numRef>
              <c:f>'Mosher TotalsMetabolites 6.0 18'!$I$20:$I$21</c:f>
              <c:numCache>
                <c:formatCode>General</c:formatCode>
                <c:ptCount val="2"/>
                <c:pt idx="0">
                  <c:v>16</c:v>
                </c:pt>
                <c:pt idx="1">
                  <c:v>24</c:v>
                </c:pt>
              </c:numCache>
            </c:numRef>
          </c:xVal>
          <c:yVal>
            <c:numRef>
              <c:f>'Mosher TotalsMetabolites 6.0 18'!$J$20:$J$21</c:f>
              <c:numCache>
                <c:formatCode>General</c:formatCode>
                <c:ptCount val="2"/>
                <c:pt idx="0">
                  <c:v>4064</c:v>
                </c:pt>
                <c:pt idx="1">
                  <c:v>4746</c:v>
                </c:pt>
              </c:numCache>
            </c:numRef>
          </c:yVal>
          <c:smooth val="0"/>
          <c:extLst>
            <c:ext xmlns:c16="http://schemas.microsoft.com/office/drawing/2014/chart" uri="{C3380CC4-5D6E-409C-BE32-E72D297353CC}">
              <c16:uniqueId val="{0000000C-C5C8-D24D-9B9E-CDA9CA398232}"/>
            </c:ext>
          </c:extLst>
        </c:ser>
        <c:ser>
          <c:idx val="8"/>
          <c:order val="8"/>
          <c:tx>
            <c:v>24-36</c:v>
          </c:tx>
          <c:spPr>
            <a:ln w="28575">
              <a:noFill/>
            </a:ln>
          </c:spPr>
          <c:marker>
            <c:symbol val="none"/>
          </c:marker>
          <c:trendline>
            <c:spPr>
              <a:ln>
                <a:solidFill>
                  <a:srgbClr val="3366FF"/>
                </a:solidFill>
              </a:ln>
            </c:spPr>
            <c:trendlineType val="linear"/>
            <c:dispRSqr val="0"/>
            <c:dispEq val="0"/>
          </c:trendline>
          <c:xVal>
            <c:numRef>
              <c:f>'Mosher TotalsMetabolites 6.0 18'!$I$21:$I$22</c:f>
              <c:numCache>
                <c:formatCode>General</c:formatCode>
                <c:ptCount val="2"/>
                <c:pt idx="0">
                  <c:v>24</c:v>
                </c:pt>
                <c:pt idx="1">
                  <c:v>36</c:v>
                </c:pt>
              </c:numCache>
            </c:numRef>
          </c:xVal>
          <c:yVal>
            <c:numRef>
              <c:f>'Mosher TotalsMetabolites 6.0 18'!$J$21:$J$22</c:f>
              <c:numCache>
                <c:formatCode>General</c:formatCode>
                <c:ptCount val="2"/>
                <c:pt idx="0">
                  <c:v>4746</c:v>
                </c:pt>
                <c:pt idx="1">
                  <c:v>5612</c:v>
                </c:pt>
              </c:numCache>
            </c:numRef>
          </c:yVal>
          <c:smooth val="0"/>
          <c:extLst>
            <c:ext xmlns:c16="http://schemas.microsoft.com/office/drawing/2014/chart" uri="{C3380CC4-5D6E-409C-BE32-E72D297353CC}">
              <c16:uniqueId val="{0000000E-C5C8-D24D-9B9E-CDA9CA398232}"/>
            </c:ext>
          </c:extLst>
        </c:ser>
        <c:ser>
          <c:idx val="9"/>
          <c:order val="9"/>
          <c:tx>
            <c:v>p0-3</c:v>
          </c:tx>
          <c:spPr>
            <a:ln w="28575">
              <a:noFill/>
            </a:ln>
          </c:spPr>
          <c:marker>
            <c:symbol val="none"/>
          </c:marker>
          <c:trendline>
            <c:spPr>
              <a:ln>
                <a:solidFill>
                  <a:srgbClr val="FF0000"/>
                </a:solidFill>
              </a:ln>
            </c:spPr>
            <c:trendlineType val="linear"/>
            <c:dispRSqr val="0"/>
            <c:dispEq val="0"/>
          </c:trendline>
          <c:xVal>
            <c:numRef>
              <c:f>'Mosher TotalsMetabolites 6.0 18'!$Q$32:$Q$33</c:f>
              <c:numCache>
                <c:formatCode>General</c:formatCode>
                <c:ptCount val="2"/>
                <c:pt idx="0">
                  <c:v>0</c:v>
                </c:pt>
                <c:pt idx="1">
                  <c:v>3</c:v>
                </c:pt>
              </c:numCache>
            </c:numRef>
          </c:xVal>
          <c:yVal>
            <c:numRef>
              <c:f>'Mosher TotalsMetabolites 6.0 18'!$R$32:$R$33</c:f>
              <c:numCache>
                <c:formatCode>0</c:formatCode>
                <c:ptCount val="2"/>
                <c:pt idx="0" formatCode="General">
                  <c:v>0</c:v>
                </c:pt>
                <c:pt idx="1">
                  <c:v>1343.3</c:v>
                </c:pt>
              </c:numCache>
            </c:numRef>
          </c:yVal>
          <c:smooth val="0"/>
          <c:extLst>
            <c:ext xmlns:c16="http://schemas.microsoft.com/office/drawing/2014/chart" uri="{C3380CC4-5D6E-409C-BE32-E72D297353CC}">
              <c16:uniqueId val="{00000010-C5C8-D24D-9B9E-CDA9CA398232}"/>
            </c:ext>
          </c:extLst>
        </c:ser>
        <c:ser>
          <c:idx val="10"/>
          <c:order val="10"/>
          <c:tx>
            <c:v>p3-6</c:v>
          </c:tx>
          <c:spPr>
            <a:ln w="28575">
              <a:noFill/>
            </a:ln>
          </c:spPr>
          <c:marker>
            <c:symbol val="none"/>
          </c:marker>
          <c:trendline>
            <c:spPr>
              <a:ln>
                <a:solidFill>
                  <a:srgbClr val="FF0000"/>
                </a:solidFill>
              </a:ln>
            </c:spPr>
            <c:trendlineType val="linear"/>
            <c:dispRSqr val="0"/>
            <c:dispEq val="0"/>
          </c:trendline>
          <c:xVal>
            <c:numRef>
              <c:f>'Mosher TotalsMetabolites 6.0 18'!$Q$33:$Q$34</c:f>
              <c:numCache>
                <c:formatCode>General</c:formatCode>
                <c:ptCount val="2"/>
                <c:pt idx="0">
                  <c:v>3</c:v>
                </c:pt>
                <c:pt idx="1">
                  <c:v>6</c:v>
                </c:pt>
              </c:numCache>
            </c:numRef>
          </c:xVal>
          <c:yVal>
            <c:numRef>
              <c:f>'Mosher TotalsMetabolites 6.0 18'!$R$33:$R$34</c:f>
              <c:numCache>
                <c:formatCode>0</c:formatCode>
                <c:ptCount val="2"/>
                <c:pt idx="0">
                  <c:v>1343.3</c:v>
                </c:pt>
                <c:pt idx="1">
                  <c:v>1599.33</c:v>
                </c:pt>
              </c:numCache>
            </c:numRef>
          </c:yVal>
          <c:smooth val="0"/>
          <c:extLst>
            <c:ext xmlns:c16="http://schemas.microsoft.com/office/drawing/2014/chart" uri="{C3380CC4-5D6E-409C-BE32-E72D297353CC}">
              <c16:uniqueId val="{00000012-C5C8-D24D-9B9E-CDA9CA398232}"/>
            </c:ext>
          </c:extLst>
        </c:ser>
        <c:ser>
          <c:idx val="11"/>
          <c:order val="11"/>
          <c:tx>
            <c:v>p6-12</c:v>
          </c:tx>
          <c:spPr>
            <a:ln w="28575">
              <a:noFill/>
            </a:ln>
          </c:spPr>
          <c:marker>
            <c:symbol val="none"/>
          </c:marker>
          <c:trendline>
            <c:spPr>
              <a:ln>
                <a:solidFill>
                  <a:srgbClr val="FF0000"/>
                </a:solidFill>
              </a:ln>
            </c:spPr>
            <c:trendlineType val="linear"/>
            <c:dispRSqr val="0"/>
            <c:dispEq val="0"/>
          </c:trendline>
          <c:xVal>
            <c:numRef>
              <c:f>'Mosher TotalsMetabolites 6.0 18'!$Q$34:$Q$35</c:f>
              <c:numCache>
                <c:formatCode>General</c:formatCode>
                <c:ptCount val="2"/>
                <c:pt idx="0">
                  <c:v>6</c:v>
                </c:pt>
                <c:pt idx="1">
                  <c:v>12</c:v>
                </c:pt>
              </c:numCache>
            </c:numRef>
          </c:xVal>
          <c:yVal>
            <c:numRef>
              <c:f>'Mosher TotalsMetabolites 6.0 18'!$R$34:$R$35</c:f>
              <c:numCache>
                <c:formatCode>0</c:formatCode>
                <c:ptCount val="2"/>
                <c:pt idx="0">
                  <c:v>1599.33</c:v>
                </c:pt>
                <c:pt idx="1">
                  <c:v>2392.4866666666662</c:v>
                </c:pt>
              </c:numCache>
            </c:numRef>
          </c:yVal>
          <c:smooth val="0"/>
          <c:extLst>
            <c:ext xmlns:c16="http://schemas.microsoft.com/office/drawing/2014/chart" uri="{C3380CC4-5D6E-409C-BE32-E72D297353CC}">
              <c16:uniqueId val="{00000014-C5C8-D24D-9B9E-CDA9CA398232}"/>
            </c:ext>
          </c:extLst>
        </c:ser>
        <c:ser>
          <c:idx val="12"/>
          <c:order val="12"/>
          <c:tx>
            <c:v>p12-16</c:v>
          </c:tx>
          <c:spPr>
            <a:ln w="28575">
              <a:noFill/>
            </a:ln>
          </c:spPr>
          <c:marker>
            <c:symbol val="none"/>
          </c:marker>
          <c:trendline>
            <c:spPr>
              <a:ln>
                <a:solidFill>
                  <a:srgbClr val="FF0000"/>
                </a:solidFill>
              </a:ln>
            </c:spPr>
            <c:trendlineType val="linear"/>
            <c:dispRSqr val="0"/>
            <c:dispEq val="0"/>
          </c:trendline>
          <c:xVal>
            <c:numRef>
              <c:f>'Mosher TotalsMetabolites 6.0 18'!$Q$35:$Q$36</c:f>
              <c:numCache>
                <c:formatCode>General</c:formatCode>
                <c:ptCount val="2"/>
                <c:pt idx="0">
                  <c:v>12</c:v>
                </c:pt>
                <c:pt idx="1">
                  <c:v>16</c:v>
                </c:pt>
              </c:numCache>
            </c:numRef>
          </c:xVal>
          <c:yVal>
            <c:numRef>
              <c:f>'Mosher TotalsMetabolites 6.0 18'!$R$35:$R$36</c:f>
              <c:numCache>
                <c:formatCode>0</c:formatCode>
                <c:ptCount val="2"/>
                <c:pt idx="0">
                  <c:v>2392.4866666666662</c:v>
                </c:pt>
                <c:pt idx="1">
                  <c:v>3088.64</c:v>
                </c:pt>
              </c:numCache>
            </c:numRef>
          </c:yVal>
          <c:smooth val="0"/>
          <c:extLst>
            <c:ext xmlns:c16="http://schemas.microsoft.com/office/drawing/2014/chart" uri="{C3380CC4-5D6E-409C-BE32-E72D297353CC}">
              <c16:uniqueId val="{00000016-C5C8-D24D-9B9E-CDA9CA398232}"/>
            </c:ext>
          </c:extLst>
        </c:ser>
        <c:ser>
          <c:idx val="13"/>
          <c:order val="13"/>
          <c:tx>
            <c:v>p16-24</c:v>
          </c:tx>
          <c:spPr>
            <a:ln w="28575">
              <a:noFill/>
            </a:ln>
          </c:spPr>
          <c:marker>
            <c:symbol val="none"/>
          </c:marker>
          <c:trendline>
            <c:spPr>
              <a:ln>
                <a:solidFill>
                  <a:srgbClr val="FF0000"/>
                </a:solidFill>
              </a:ln>
            </c:spPr>
            <c:trendlineType val="linear"/>
            <c:dispRSqr val="0"/>
            <c:dispEq val="0"/>
          </c:trendline>
          <c:xVal>
            <c:numRef>
              <c:f>'Mosher TotalsMetabolites 6.0 18'!$Q$36:$Q$37</c:f>
              <c:numCache>
                <c:formatCode>General</c:formatCode>
                <c:ptCount val="2"/>
                <c:pt idx="0">
                  <c:v>16</c:v>
                </c:pt>
                <c:pt idx="1">
                  <c:v>24</c:v>
                </c:pt>
              </c:numCache>
            </c:numRef>
          </c:xVal>
          <c:yVal>
            <c:numRef>
              <c:f>'Mosher TotalsMetabolites 6.0 18'!$R$36:$R$37</c:f>
              <c:numCache>
                <c:formatCode>0</c:formatCode>
                <c:ptCount val="2"/>
                <c:pt idx="0">
                  <c:v>3088.64</c:v>
                </c:pt>
                <c:pt idx="1">
                  <c:v>3085.1166666666668</c:v>
                </c:pt>
              </c:numCache>
            </c:numRef>
          </c:yVal>
          <c:smooth val="0"/>
          <c:extLst>
            <c:ext xmlns:c16="http://schemas.microsoft.com/office/drawing/2014/chart" uri="{C3380CC4-5D6E-409C-BE32-E72D297353CC}">
              <c16:uniqueId val="{00000018-C5C8-D24D-9B9E-CDA9CA398232}"/>
            </c:ext>
          </c:extLst>
        </c:ser>
        <c:ser>
          <c:idx val="14"/>
          <c:order val="14"/>
          <c:tx>
            <c:v>p24-36</c:v>
          </c:tx>
          <c:spPr>
            <a:ln w="28575">
              <a:noFill/>
            </a:ln>
          </c:spPr>
          <c:marker>
            <c:symbol val="none"/>
          </c:marker>
          <c:trendline>
            <c:spPr>
              <a:ln>
                <a:solidFill>
                  <a:srgbClr val="FF0000"/>
                </a:solidFill>
              </a:ln>
            </c:spPr>
            <c:trendlineType val="linear"/>
            <c:dispRSqr val="0"/>
            <c:dispEq val="0"/>
          </c:trendline>
          <c:xVal>
            <c:numRef>
              <c:f>'Mosher TotalsMetabolites 6.0 18'!$Q$37:$Q$38</c:f>
              <c:numCache>
                <c:formatCode>General</c:formatCode>
                <c:ptCount val="2"/>
                <c:pt idx="0">
                  <c:v>24</c:v>
                </c:pt>
                <c:pt idx="1">
                  <c:v>36</c:v>
                </c:pt>
              </c:numCache>
            </c:numRef>
          </c:xVal>
          <c:yVal>
            <c:numRef>
              <c:f>'Mosher TotalsMetabolites 6.0 18'!$R$37:$R$38</c:f>
              <c:numCache>
                <c:formatCode>0</c:formatCode>
                <c:ptCount val="2"/>
                <c:pt idx="0">
                  <c:v>3085.1166666666668</c:v>
                </c:pt>
                <c:pt idx="1">
                  <c:v>3311.08</c:v>
                </c:pt>
              </c:numCache>
            </c:numRef>
          </c:yVal>
          <c:smooth val="0"/>
          <c:extLst>
            <c:ext xmlns:c16="http://schemas.microsoft.com/office/drawing/2014/chart" uri="{C3380CC4-5D6E-409C-BE32-E72D297353CC}">
              <c16:uniqueId val="{0000001A-C5C8-D24D-9B9E-CDA9CA398232}"/>
            </c:ext>
          </c:extLst>
        </c:ser>
        <c:ser>
          <c:idx val="15"/>
          <c:order val="15"/>
          <c:tx>
            <c:v>m0-3</c:v>
          </c:tx>
          <c:spPr>
            <a:ln w="28575">
              <a:noFill/>
            </a:ln>
          </c:spPr>
          <c:marker>
            <c:symbol val="none"/>
          </c:marker>
          <c:trendline>
            <c:spPr>
              <a:ln>
                <a:solidFill>
                  <a:srgbClr val="008000"/>
                </a:solidFill>
              </a:ln>
            </c:spPr>
            <c:trendlineType val="linear"/>
            <c:dispRSqr val="0"/>
            <c:dispEq val="0"/>
          </c:trendline>
          <c:xVal>
            <c:numRef>
              <c:f>'Mosher TotalsMetabolites 6.0 18'!$Q$32:$Q$33</c:f>
              <c:numCache>
                <c:formatCode>General</c:formatCode>
                <c:ptCount val="2"/>
                <c:pt idx="0">
                  <c:v>0</c:v>
                </c:pt>
                <c:pt idx="1">
                  <c:v>3</c:v>
                </c:pt>
              </c:numCache>
            </c:numRef>
          </c:xVal>
          <c:yVal>
            <c:numRef>
              <c:f>'Mosher TotalsMetabolites 6.0 18'!$S$32:$S$33</c:f>
              <c:numCache>
                <c:formatCode>0</c:formatCode>
                <c:ptCount val="2"/>
                <c:pt idx="0" formatCode="General">
                  <c:v>0</c:v>
                </c:pt>
                <c:pt idx="1">
                  <c:v>70.700000000000045</c:v>
                </c:pt>
              </c:numCache>
            </c:numRef>
          </c:yVal>
          <c:smooth val="0"/>
          <c:extLst>
            <c:ext xmlns:c16="http://schemas.microsoft.com/office/drawing/2014/chart" uri="{C3380CC4-5D6E-409C-BE32-E72D297353CC}">
              <c16:uniqueId val="{0000001C-C5C8-D24D-9B9E-CDA9CA398232}"/>
            </c:ext>
          </c:extLst>
        </c:ser>
        <c:ser>
          <c:idx val="16"/>
          <c:order val="16"/>
          <c:tx>
            <c:v>m3-6</c:v>
          </c:tx>
          <c:spPr>
            <a:ln w="28575">
              <a:noFill/>
            </a:ln>
          </c:spPr>
          <c:marker>
            <c:symbol val="none"/>
          </c:marker>
          <c:trendline>
            <c:spPr>
              <a:ln>
                <a:solidFill>
                  <a:srgbClr val="008000"/>
                </a:solidFill>
              </a:ln>
            </c:spPr>
            <c:trendlineType val="linear"/>
            <c:dispRSqr val="0"/>
            <c:dispEq val="0"/>
          </c:trendline>
          <c:xVal>
            <c:numRef>
              <c:f>'Mosher TotalsMetabolites 6.0 18'!$Q$33:$Q$34</c:f>
              <c:numCache>
                <c:formatCode>General</c:formatCode>
                <c:ptCount val="2"/>
                <c:pt idx="0">
                  <c:v>3</c:v>
                </c:pt>
                <c:pt idx="1">
                  <c:v>6</c:v>
                </c:pt>
              </c:numCache>
            </c:numRef>
          </c:xVal>
          <c:yVal>
            <c:numRef>
              <c:f>'Mosher TotalsMetabolites 6.0 18'!$S$33:$S$34</c:f>
              <c:numCache>
                <c:formatCode>0</c:formatCode>
                <c:ptCount val="2"/>
                <c:pt idx="0">
                  <c:v>70.700000000000045</c:v>
                </c:pt>
                <c:pt idx="1">
                  <c:v>197.66999999999993</c:v>
                </c:pt>
              </c:numCache>
            </c:numRef>
          </c:yVal>
          <c:smooth val="0"/>
          <c:extLst>
            <c:ext xmlns:c16="http://schemas.microsoft.com/office/drawing/2014/chart" uri="{C3380CC4-5D6E-409C-BE32-E72D297353CC}">
              <c16:uniqueId val="{0000001E-C5C8-D24D-9B9E-CDA9CA398232}"/>
            </c:ext>
          </c:extLst>
        </c:ser>
        <c:ser>
          <c:idx val="17"/>
          <c:order val="17"/>
          <c:tx>
            <c:v>m6-12</c:v>
          </c:tx>
          <c:spPr>
            <a:ln w="28575">
              <a:noFill/>
            </a:ln>
          </c:spPr>
          <c:marker>
            <c:symbol val="none"/>
          </c:marker>
          <c:trendline>
            <c:spPr>
              <a:ln>
                <a:solidFill>
                  <a:srgbClr val="008000"/>
                </a:solidFill>
              </a:ln>
            </c:spPr>
            <c:trendlineType val="linear"/>
            <c:dispRSqr val="0"/>
            <c:dispEq val="0"/>
          </c:trendline>
          <c:xVal>
            <c:numRef>
              <c:f>'Mosher TotalsMetabolites 6.0 18'!$Q$34:$Q$35</c:f>
              <c:numCache>
                <c:formatCode>General</c:formatCode>
                <c:ptCount val="2"/>
                <c:pt idx="0">
                  <c:v>6</c:v>
                </c:pt>
                <c:pt idx="1">
                  <c:v>12</c:v>
                </c:pt>
              </c:numCache>
            </c:numRef>
          </c:xVal>
          <c:yVal>
            <c:numRef>
              <c:f>'Mosher TotalsMetabolites 6.0 18'!$S$34:$S$35</c:f>
              <c:numCache>
                <c:formatCode>0</c:formatCode>
                <c:ptCount val="2"/>
                <c:pt idx="0">
                  <c:v>197.66999999999993</c:v>
                </c:pt>
                <c:pt idx="1">
                  <c:v>525.18000000000006</c:v>
                </c:pt>
              </c:numCache>
            </c:numRef>
          </c:yVal>
          <c:smooth val="0"/>
          <c:extLst>
            <c:ext xmlns:c16="http://schemas.microsoft.com/office/drawing/2014/chart" uri="{C3380CC4-5D6E-409C-BE32-E72D297353CC}">
              <c16:uniqueId val="{00000020-C5C8-D24D-9B9E-CDA9CA398232}"/>
            </c:ext>
          </c:extLst>
        </c:ser>
        <c:ser>
          <c:idx val="18"/>
          <c:order val="18"/>
          <c:tx>
            <c:v>m12-16</c:v>
          </c:tx>
          <c:spPr>
            <a:ln w="28575">
              <a:noFill/>
            </a:ln>
          </c:spPr>
          <c:marker>
            <c:symbol val="none"/>
          </c:marker>
          <c:trendline>
            <c:spPr>
              <a:ln>
                <a:solidFill>
                  <a:srgbClr val="008000"/>
                </a:solidFill>
              </a:ln>
            </c:spPr>
            <c:trendlineType val="linear"/>
            <c:dispRSqr val="0"/>
            <c:dispEq val="0"/>
          </c:trendline>
          <c:xVal>
            <c:numRef>
              <c:f>'Mosher TotalsMetabolites 6.0 18'!$Q$35:$Q$36</c:f>
              <c:numCache>
                <c:formatCode>General</c:formatCode>
                <c:ptCount val="2"/>
                <c:pt idx="0">
                  <c:v>12</c:v>
                </c:pt>
                <c:pt idx="1">
                  <c:v>16</c:v>
                </c:pt>
              </c:numCache>
            </c:numRef>
          </c:xVal>
          <c:yVal>
            <c:numRef>
              <c:f>'Mosher TotalsMetabolites 6.0 18'!$S$35:$S$36</c:f>
              <c:numCache>
                <c:formatCode>0</c:formatCode>
                <c:ptCount val="2"/>
                <c:pt idx="0">
                  <c:v>525.18000000000006</c:v>
                </c:pt>
                <c:pt idx="1">
                  <c:v>975.36</c:v>
                </c:pt>
              </c:numCache>
            </c:numRef>
          </c:yVal>
          <c:smooth val="0"/>
          <c:extLst>
            <c:ext xmlns:c16="http://schemas.microsoft.com/office/drawing/2014/chart" uri="{C3380CC4-5D6E-409C-BE32-E72D297353CC}">
              <c16:uniqueId val="{00000022-C5C8-D24D-9B9E-CDA9CA398232}"/>
            </c:ext>
          </c:extLst>
        </c:ser>
        <c:ser>
          <c:idx val="19"/>
          <c:order val="19"/>
          <c:tx>
            <c:v>m16-24</c:v>
          </c:tx>
          <c:spPr>
            <a:ln w="28575">
              <a:noFill/>
            </a:ln>
          </c:spPr>
          <c:marker>
            <c:symbol val="none"/>
          </c:marker>
          <c:trendline>
            <c:spPr>
              <a:ln>
                <a:solidFill>
                  <a:srgbClr val="008000"/>
                </a:solidFill>
              </a:ln>
            </c:spPr>
            <c:trendlineType val="linear"/>
            <c:dispRSqr val="0"/>
            <c:dispEq val="0"/>
          </c:trendline>
          <c:xVal>
            <c:numRef>
              <c:f>'Mosher TotalsMetabolites 6.0 18'!$Q$36:$Q$37</c:f>
              <c:numCache>
                <c:formatCode>General</c:formatCode>
                <c:ptCount val="2"/>
                <c:pt idx="0">
                  <c:v>16</c:v>
                </c:pt>
                <c:pt idx="1">
                  <c:v>24</c:v>
                </c:pt>
              </c:numCache>
            </c:numRef>
          </c:xVal>
          <c:yVal>
            <c:numRef>
              <c:f>'Mosher TotalsMetabolites 6.0 18'!$S$36:$S$37</c:f>
              <c:numCache>
                <c:formatCode>0</c:formatCode>
                <c:ptCount val="2"/>
                <c:pt idx="0">
                  <c:v>975.36</c:v>
                </c:pt>
                <c:pt idx="1">
                  <c:v>1661.2166666666665</c:v>
                </c:pt>
              </c:numCache>
            </c:numRef>
          </c:yVal>
          <c:smooth val="0"/>
          <c:extLst>
            <c:ext xmlns:c16="http://schemas.microsoft.com/office/drawing/2014/chart" uri="{C3380CC4-5D6E-409C-BE32-E72D297353CC}">
              <c16:uniqueId val="{00000024-C5C8-D24D-9B9E-CDA9CA398232}"/>
            </c:ext>
          </c:extLst>
        </c:ser>
        <c:ser>
          <c:idx val="20"/>
          <c:order val="20"/>
          <c:tx>
            <c:v>m24-36</c:v>
          </c:tx>
          <c:spPr>
            <a:ln w="28575">
              <a:noFill/>
            </a:ln>
          </c:spPr>
          <c:marker>
            <c:symbol val="none"/>
          </c:marker>
          <c:trendline>
            <c:spPr>
              <a:ln>
                <a:solidFill>
                  <a:srgbClr val="008000"/>
                </a:solidFill>
              </a:ln>
            </c:spPr>
            <c:trendlineType val="linear"/>
            <c:dispRSqr val="0"/>
            <c:dispEq val="0"/>
          </c:trendline>
          <c:xVal>
            <c:numRef>
              <c:f>'Mosher TotalsMetabolites 6.0 18'!$Q$37:$Q$38</c:f>
              <c:numCache>
                <c:formatCode>General</c:formatCode>
                <c:ptCount val="2"/>
                <c:pt idx="0">
                  <c:v>24</c:v>
                </c:pt>
                <c:pt idx="1">
                  <c:v>36</c:v>
                </c:pt>
              </c:numCache>
            </c:numRef>
          </c:xVal>
          <c:yVal>
            <c:numRef>
              <c:f>'Mosher TotalsMetabolites 6.0 18'!$S$37:$S$38</c:f>
              <c:numCache>
                <c:formatCode>0</c:formatCode>
                <c:ptCount val="2"/>
                <c:pt idx="0">
                  <c:v>1661.2166666666665</c:v>
                </c:pt>
                <c:pt idx="1">
                  <c:v>2300.92</c:v>
                </c:pt>
              </c:numCache>
            </c:numRef>
          </c:yVal>
          <c:smooth val="0"/>
          <c:extLst>
            <c:ext xmlns:c16="http://schemas.microsoft.com/office/drawing/2014/chart" uri="{C3380CC4-5D6E-409C-BE32-E72D297353CC}">
              <c16:uniqueId val="{00000026-C5C8-D24D-9B9E-CDA9CA398232}"/>
            </c:ext>
          </c:extLst>
        </c:ser>
        <c:dLbls>
          <c:showLegendKey val="0"/>
          <c:showVal val="0"/>
          <c:showCatName val="0"/>
          <c:showSerName val="0"/>
          <c:showPercent val="0"/>
          <c:showBubbleSize val="0"/>
        </c:dLbls>
        <c:axId val="2138282696"/>
        <c:axId val="2138547928"/>
      </c:scatterChart>
      <c:valAx>
        <c:axId val="2138282696"/>
        <c:scaling>
          <c:orientation val="minMax"/>
        </c:scaling>
        <c:delete val="0"/>
        <c:axPos val="b"/>
        <c:title>
          <c:tx>
            <c:rich>
              <a:bodyPr/>
              <a:lstStyle/>
              <a:p>
                <a:pPr>
                  <a:defRPr/>
                </a:pPr>
                <a:r>
                  <a:rPr lang="en-US"/>
                  <a:t>Time</a:t>
                </a:r>
                <a:r>
                  <a:rPr lang="en-US" baseline="0"/>
                  <a:t> (h)</a:t>
                </a:r>
                <a:endParaRPr lang="en-US"/>
              </a:p>
            </c:rich>
          </c:tx>
          <c:overlay val="0"/>
        </c:title>
        <c:numFmt formatCode="General" sourceLinked="1"/>
        <c:majorTickMark val="out"/>
        <c:minorTickMark val="none"/>
        <c:tickLblPos val="nextTo"/>
        <c:crossAx val="2138547928"/>
        <c:crosses val="autoZero"/>
        <c:crossBetween val="midCat"/>
      </c:valAx>
      <c:valAx>
        <c:axId val="2138547928"/>
        <c:scaling>
          <c:orientation val="minMax"/>
        </c:scaling>
        <c:delete val="0"/>
        <c:axPos val="l"/>
        <c:title>
          <c:tx>
            <c:rich>
              <a:bodyPr rot="-5400000" vert="horz"/>
              <a:lstStyle/>
              <a:p>
                <a:pPr>
                  <a:defRPr/>
                </a:pPr>
                <a:r>
                  <a:rPr lang="en-US"/>
                  <a:t>Body</a:t>
                </a:r>
                <a:r>
                  <a:rPr lang="en-US" baseline="0"/>
                  <a:t> residue (ng/g)</a:t>
                </a:r>
                <a:endParaRPr lang="en-US"/>
              </a:p>
            </c:rich>
          </c:tx>
          <c:overlay val="0"/>
        </c:title>
        <c:numFmt formatCode="General" sourceLinked="1"/>
        <c:majorTickMark val="out"/>
        <c:minorTickMark val="none"/>
        <c:tickLblPos val="nextTo"/>
        <c:crossAx val="2138282696"/>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ayout>
        <c:manualLayout>
          <c:xMode val="edge"/>
          <c:yMode val="edge"/>
          <c:x val="0.817655773642188"/>
          <c:y val="0.37174974838671498"/>
          <c:w val="0.138054689851975"/>
          <c:h val="0.22649902314842199"/>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6.0 18'!$I$11:$I$28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6.0 18'!$H$11:$H$28</c:f>
              <c:numCache>
                <c:formatCode>0.000</c:formatCode>
                <c:ptCount val="18"/>
                <c:pt idx="0">
                  <c:v>0.2827713034135052</c:v>
                </c:pt>
                <c:pt idx="1">
                  <c:v>0.27469212331597653</c:v>
                </c:pt>
                <c:pt idx="2">
                  <c:v>0.30700884370609138</c:v>
                </c:pt>
                <c:pt idx="3">
                  <c:v>0.36356310438879241</c:v>
                </c:pt>
                <c:pt idx="4">
                  <c:v>0.25045458302339035</c:v>
                </c:pt>
                <c:pt idx="5">
                  <c:v>0.2827713034135052</c:v>
                </c:pt>
                <c:pt idx="6">
                  <c:v>0.29892966360856266</c:v>
                </c:pt>
                <c:pt idx="7">
                  <c:v>0.26661294321844781</c:v>
                </c:pt>
                <c:pt idx="8">
                  <c:v>0.34740474419373502</c:v>
                </c:pt>
                <c:pt idx="9">
                  <c:v>0.30700884370609138</c:v>
                </c:pt>
                <c:pt idx="10">
                  <c:v>0.25853376312091908</c:v>
                </c:pt>
                <c:pt idx="11">
                  <c:v>0.37164228448632119</c:v>
                </c:pt>
                <c:pt idx="12">
                  <c:v>0.2827713034135052</c:v>
                </c:pt>
                <c:pt idx="13">
                  <c:v>0.25045458302339035</c:v>
                </c:pt>
                <c:pt idx="14">
                  <c:v>0.29892966360856266</c:v>
                </c:pt>
                <c:pt idx="15">
                  <c:v>0.32316720390114884</c:v>
                </c:pt>
                <c:pt idx="16">
                  <c:v>0.26661294321844781</c:v>
                </c:pt>
                <c:pt idx="17">
                  <c:v>0.29892966360856266</c:v>
                </c:pt>
              </c:numCache>
            </c:numRef>
          </c:yVal>
          <c:smooth val="0"/>
          <c:extLst>
            <c:ext xmlns:c16="http://schemas.microsoft.com/office/drawing/2014/chart" uri="{C3380CC4-5D6E-409C-BE32-E72D297353CC}">
              <c16:uniqueId val="{00000001-87CA-B840-8EA9-6B6EB16B82E5}"/>
            </c:ext>
          </c:extLst>
        </c:ser>
        <c:dLbls>
          <c:showLegendKey val="0"/>
          <c:showVal val="0"/>
          <c:showCatName val="0"/>
          <c:showSerName val="0"/>
          <c:showPercent val="0"/>
          <c:showBubbleSize val="0"/>
        </c:dLbls>
        <c:axId val="-2143603608"/>
        <c:axId val="-2143922600"/>
      </c:scatterChart>
      <c:valAx>
        <c:axId val="-2143603608"/>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43922600"/>
        <c:crosses val="autoZero"/>
        <c:crossBetween val="midCat"/>
      </c:valAx>
      <c:valAx>
        <c:axId val="-2143922600"/>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43603608"/>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6.0 18'!$I$11:$I$28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6.0 18'!$E$11:$E$28</c:f>
              <c:numCache>
                <c:formatCode>0</c:formatCode>
                <c:ptCount val="18"/>
                <c:pt idx="0">
                  <c:v>282.77130341350522</c:v>
                </c:pt>
                <c:pt idx="1">
                  <c:v>274.69212331597652</c:v>
                </c:pt>
                <c:pt idx="2">
                  <c:v>307.0088437060914</c:v>
                </c:pt>
                <c:pt idx="3">
                  <c:v>363.5631043887924</c:v>
                </c:pt>
                <c:pt idx="4">
                  <c:v>250.45458302339034</c:v>
                </c:pt>
                <c:pt idx="5">
                  <c:v>282.77130341350522</c:v>
                </c:pt>
                <c:pt idx="6">
                  <c:v>298.92966360856263</c:v>
                </c:pt>
                <c:pt idx="7">
                  <c:v>266.61294321844781</c:v>
                </c:pt>
                <c:pt idx="8">
                  <c:v>347.40474419373504</c:v>
                </c:pt>
                <c:pt idx="9">
                  <c:v>307.0088437060914</c:v>
                </c:pt>
                <c:pt idx="10">
                  <c:v>258.5337631209191</c:v>
                </c:pt>
                <c:pt idx="11">
                  <c:v>371.64228448632122</c:v>
                </c:pt>
                <c:pt idx="12">
                  <c:v>282.77130341350522</c:v>
                </c:pt>
                <c:pt idx="13">
                  <c:v>250.45458302339034</c:v>
                </c:pt>
                <c:pt idx="14">
                  <c:v>298.92966360856263</c:v>
                </c:pt>
                <c:pt idx="15">
                  <c:v>323.16720390114881</c:v>
                </c:pt>
                <c:pt idx="16">
                  <c:v>266.61294321844781</c:v>
                </c:pt>
                <c:pt idx="17">
                  <c:v>298.92966360856263</c:v>
                </c:pt>
              </c:numCache>
            </c:numRef>
          </c:yVal>
          <c:smooth val="0"/>
          <c:extLst>
            <c:ext xmlns:c16="http://schemas.microsoft.com/office/drawing/2014/chart" uri="{C3380CC4-5D6E-409C-BE32-E72D297353CC}">
              <c16:uniqueId val="{00000001-7F28-294F-BAC8-E70E43BF7CEC}"/>
            </c:ext>
          </c:extLst>
        </c:ser>
        <c:dLbls>
          <c:showLegendKey val="0"/>
          <c:showVal val="0"/>
          <c:showCatName val="0"/>
          <c:showSerName val="0"/>
          <c:showPercent val="0"/>
          <c:showBubbleSize val="0"/>
        </c:dLbls>
        <c:axId val="2135743592"/>
        <c:axId val="2135822984"/>
      </c:scatterChart>
      <c:valAx>
        <c:axId val="2135743592"/>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35822984"/>
        <c:crosses val="autoZero"/>
        <c:crossBetween val="midCat"/>
      </c:valAx>
      <c:valAx>
        <c:axId val="2135822984"/>
        <c:scaling>
          <c:orientation val="minMax"/>
        </c:scaling>
        <c:delete val="0"/>
        <c:axPos val="l"/>
        <c:majorGridlines/>
        <c:title>
          <c:tx>
            <c:rich>
              <a:bodyPr rot="-5400000" vert="horz"/>
              <a:lstStyle/>
              <a:p>
                <a:pPr>
                  <a:defRPr/>
                </a:pPr>
                <a:r>
                  <a:rPr lang="en-US"/>
                  <a:t>ng/L</a:t>
                </a:r>
              </a:p>
            </c:rich>
          </c:tx>
          <c:overlay val="0"/>
        </c:title>
        <c:numFmt formatCode="0" sourceLinked="1"/>
        <c:majorTickMark val="out"/>
        <c:minorTickMark val="none"/>
        <c:tickLblPos val="nextTo"/>
        <c:crossAx val="2135743592"/>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'Mosher TotalsMetabolites 0.2 23'!$G$4:$G$23</c:f>
              <c:numCache>
                <c:formatCode>General</c:formatCode>
                <c:ptCount val="20"/>
                <c:pt idx="0">
                  <c:v>0</c:v>
                </c:pt>
                <c:pt idx="1">
                  <c:v>0</c:v>
                </c:pt>
                <c:pt idx="2">
                  <c:v>3</c:v>
                </c:pt>
                <c:pt idx="3">
                  <c:v>3</c:v>
                </c:pt>
                <c:pt idx="4">
                  <c:v>3</c:v>
                </c:pt>
                <c:pt idx="5">
                  <c:v>6</c:v>
                </c:pt>
                <c:pt idx="6">
                  <c:v>6</c:v>
                </c:pt>
                <c:pt idx="7">
                  <c:v>6</c:v>
                </c:pt>
                <c:pt idx="8">
                  <c:v>12</c:v>
                </c:pt>
                <c:pt idx="9">
                  <c:v>12</c:v>
                </c:pt>
                <c:pt idx="10">
                  <c:v>12</c:v>
                </c:pt>
                <c:pt idx="11">
                  <c:v>16</c:v>
                </c:pt>
                <c:pt idx="12">
                  <c:v>16</c:v>
                </c:pt>
                <c:pt idx="13">
                  <c:v>16</c:v>
                </c:pt>
                <c:pt idx="14">
                  <c:v>24</c:v>
                </c:pt>
                <c:pt idx="15">
                  <c:v>24</c:v>
                </c:pt>
                <c:pt idx="16">
                  <c:v>24</c:v>
                </c:pt>
                <c:pt idx="17">
                  <c:v>36</c:v>
                </c:pt>
                <c:pt idx="18">
                  <c:v>36</c:v>
                </c:pt>
                <c:pt idx="19">
                  <c:v>36</c:v>
                </c:pt>
              </c:numCache>
            </c:numRef>
          </c:xVal>
          <c:yVal>
            <c:numRef>
              <c:f>'Mosher TotalsMetabolites 0.2 23'!$D$4:$D$23</c:f>
              <c:numCache>
                <c:formatCode>General</c:formatCode>
                <c:ptCount val="20"/>
                <c:pt idx="0">
                  <c:v>0</c:v>
                </c:pt>
                <c:pt idx="1">
                  <c:v>0</c:v>
                </c:pt>
                <c:pt idx="2" formatCode="0.0000">
                  <c:v>0.3080860677190953</c:v>
                </c:pt>
                <c:pt idx="3" formatCode="0.0000">
                  <c:v>0.16912417004160124</c:v>
                </c:pt>
                <c:pt idx="4" formatCode="0.0000">
                  <c:v>0.34134535912058844</c:v>
                </c:pt>
                <c:pt idx="5" formatCode="0.0000">
                  <c:v>0.3242444279141527</c:v>
                </c:pt>
                <c:pt idx="6" formatCode="0.0000">
                  <c:v>0.33178499600517952</c:v>
                </c:pt>
                <c:pt idx="7" formatCode="0.0000">
                  <c:v>0.44812518940959306</c:v>
                </c:pt>
                <c:pt idx="8" formatCode="0.0000">
                  <c:v>0.35979282034327909</c:v>
                </c:pt>
                <c:pt idx="9" formatCode="0.0000">
                  <c:v>0.56554260682701052</c:v>
                </c:pt>
                <c:pt idx="10" formatCode="0.0000">
                  <c:v>0.37972146458384992</c:v>
                </c:pt>
                <c:pt idx="11" formatCode="0.0000">
                  <c:v>0.59280983965616996</c:v>
                </c:pt>
                <c:pt idx="12" formatCode="0.0000">
                  <c:v>0.5957048791911177</c:v>
                </c:pt>
                <c:pt idx="13" formatCode="0.0000">
                  <c:v>0.74651624101165381</c:v>
                </c:pt>
                <c:pt idx="14" formatCode="0.0000">
                  <c:v>0.5447675722905081</c:v>
                </c:pt>
                <c:pt idx="15" formatCode="0.0000">
                  <c:v>0.74113012094663466</c:v>
                </c:pt>
                <c:pt idx="16" formatCode="0.0000">
                  <c:v>0.85423864231203672</c:v>
                </c:pt>
                <c:pt idx="17" formatCode="0.0000">
                  <c:v>0.95795992584983403</c:v>
                </c:pt>
                <c:pt idx="18" formatCode="0.0000">
                  <c:v>0.91779485907926273</c:v>
                </c:pt>
                <c:pt idx="19" formatCode="0.0000">
                  <c:v>0.76375182521971519</c:v>
                </c:pt>
              </c:numCache>
            </c:numRef>
          </c:yVal>
          <c:smooth val="0"/>
          <c:extLst>
            <c:ext xmlns:c16="http://schemas.microsoft.com/office/drawing/2014/chart" uri="{C3380CC4-5D6E-409C-BE32-E72D297353CC}">
              <c16:uniqueId val="{00000000-4048-D24F-B239-256DE8A66F3F}"/>
            </c:ext>
          </c:extLst>
        </c:ser>
        <c:dLbls>
          <c:showLegendKey val="0"/>
          <c:showVal val="0"/>
          <c:showCatName val="0"/>
          <c:showSerName val="0"/>
          <c:showPercent val="0"/>
          <c:showBubbleSize val="0"/>
        </c:dLbls>
        <c:axId val="-2138298696"/>
        <c:axId val="-2138295672"/>
      </c:scatterChart>
      <c:valAx>
        <c:axId val="-2138298696"/>
        <c:scaling>
          <c:orientation val="minMax"/>
        </c:scaling>
        <c:delete val="0"/>
        <c:axPos val="b"/>
        <c:numFmt formatCode="General" sourceLinked="1"/>
        <c:majorTickMark val="out"/>
        <c:minorTickMark val="none"/>
        <c:tickLblPos val="nextTo"/>
        <c:crossAx val="-2138295672"/>
        <c:crosses val="autoZero"/>
        <c:crossBetween val="midCat"/>
      </c:valAx>
      <c:valAx>
        <c:axId val="-2138295672"/>
        <c:scaling>
          <c:orientation val="minMax"/>
        </c:scaling>
        <c:delete val="0"/>
        <c:axPos val="l"/>
        <c:majorGridlines/>
        <c:numFmt formatCode="General" sourceLinked="1"/>
        <c:majorTickMark val="out"/>
        <c:minorTickMark val="none"/>
        <c:tickLblPos val="nextTo"/>
        <c:crossAx val="-21382986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0.2 23'!$I$11:$I$28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0.2 23'!$H$11:$H$28</c:f>
              <c:numCache>
                <c:formatCode>0.000</c:formatCode>
                <c:ptCount val="18"/>
                <c:pt idx="0">
                  <c:v>0.54938424663195307</c:v>
                </c:pt>
                <c:pt idx="1">
                  <c:v>0.35548392429126374</c:v>
                </c:pt>
                <c:pt idx="2">
                  <c:v>0.41203818497396477</c:v>
                </c:pt>
                <c:pt idx="3">
                  <c:v>0.39587982477890743</c:v>
                </c:pt>
                <c:pt idx="4">
                  <c:v>0.34740474419373502</c:v>
                </c:pt>
                <c:pt idx="5">
                  <c:v>0.43627572526655095</c:v>
                </c:pt>
                <c:pt idx="6">
                  <c:v>0.29892966360856266</c:v>
                </c:pt>
                <c:pt idx="7">
                  <c:v>0.27469212331597653</c:v>
                </c:pt>
                <c:pt idx="8">
                  <c:v>0.26661294321844781</c:v>
                </c:pt>
                <c:pt idx="9">
                  <c:v>0.29892966360856266</c:v>
                </c:pt>
                <c:pt idx="10">
                  <c:v>0.33932556409620629</c:v>
                </c:pt>
                <c:pt idx="11">
                  <c:v>0.33932556409620629</c:v>
                </c:pt>
                <c:pt idx="12">
                  <c:v>0.23429622282833293</c:v>
                </c:pt>
                <c:pt idx="13">
                  <c:v>0.33124638399867762</c:v>
                </c:pt>
                <c:pt idx="14">
                  <c:v>0.27469212331597653</c:v>
                </c:pt>
                <c:pt idx="15">
                  <c:v>0.29085048351103393</c:v>
                </c:pt>
                <c:pt idx="16">
                  <c:v>0.32316720390114884</c:v>
                </c:pt>
                <c:pt idx="17">
                  <c:v>0.32316720390114884</c:v>
                </c:pt>
              </c:numCache>
            </c:numRef>
          </c:yVal>
          <c:smooth val="0"/>
          <c:extLst>
            <c:ext xmlns:c16="http://schemas.microsoft.com/office/drawing/2014/chart" uri="{C3380CC4-5D6E-409C-BE32-E72D297353CC}">
              <c16:uniqueId val="{00000001-ED22-D54B-84CE-83979821BDE3}"/>
            </c:ext>
          </c:extLst>
        </c:ser>
        <c:dLbls>
          <c:showLegendKey val="0"/>
          <c:showVal val="0"/>
          <c:showCatName val="0"/>
          <c:showSerName val="0"/>
          <c:showPercent val="0"/>
          <c:showBubbleSize val="0"/>
        </c:dLbls>
        <c:axId val="-2140891368"/>
        <c:axId val="-2140885928"/>
      </c:scatterChart>
      <c:valAx>
        <c:axId val="-2140891368"/>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40885928"/>
        <c:crosses val="autoZero"/>
        <c:crossBetween val="midCat"/>
      </c:valAx>
      <c:valAx>
        <c:axId val="-2140885928"/>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40891368"/>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0.2 23'!$I$11:$I$28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0.2 23'!$E$11:$E$28</c:f>
              <c:numCache>
                <c:formatCode>0</c:formatCode>
                <c:ptCount val="18"/>
                <c:pt idx="0">
                  <c:v>549.38424663195303</c:v>
                </c:pt>
                <c:pt idx="1">
                  <c:v>355.48392429126375</c:v>
                </c:pt>
                <c:pt idx="2">
                  <c:v>412.03818497396475</c:v>
                </c:pt>
                <c:pt idx="3">
                  <c:v>395.87982477890745</c:v>
                </c:pt>
                <c:pt idx="4">
                  <c:v>347.40474419373504</c:v>
                </c:pt>
                <c:pt idx="5">
                  <c:v>436.27572526655098</c:v>
                </c:pt>
                <c:pt idx="6">
                  <c:v>298.92966360856263</c:v>
                </c:pt>
                <c:pt idx="7">
                  <c:v>274.69212331597652</c:v>
                </c:pt>
                <c:pt idx="8">
                  <c:v>266.61294321844781</c:v>
                </c:pt>
                <c:pt idx="9">
                  <c:v>298.92966360856263</c:v>
                </c:pt>
                <c:pt idx="10">
                  <c:v>339.32556409620628</c:v>
                </c:pt>
                <c:pt idx="11">
                  <c:v>339.32556409620628</c:v>
                </c:pt>
                <c:pt idx="12">
                  <c:v>234.29622282833293</c:v>
                </c:pt>
                <c:pt idx="13">
                  <c:v>331.24638399867763</c:v>
                </c:pt>
                <c:pt idx="14">
                  <c:v>274.69212331597652</c:v>
                </c:pt>
                <c:pt idx="15">
                  <c:v>290.85048351103393</c:v>
                </c:pt>
                <c:pt idx="16">
                  <c:v>323.16720390114881</c:v>
                </c:pt>
                <c:pt idx="17">
                  <c:v>323.16720390114881</c:v>
                </c:pt>
              </c:numCache>
            </c:numRef>
          </c:yVal>
          <c:smooth val="0"/>
          <c:extLst>
            <c:ext xmlns:c16="http://schemas.microsoft.com/office/drawing/2014/chart" uri="{C3380CC4-5D6E-409C-BE32-E72D297353CC}">
              <c16:uniqueId val="{00000001-5A59-7B47-8FC5-0A630561424B}"/>
            </c:ext>
          </c:extLst>
        </c:ser>
        <c:dLbls>
          <c:showLegendKey val="0"/>
          <c:showVal val="0"/>
          <c:showCatName val="0"/>
          <c:showSerName val="0"/>
          <c:showPercent val="0"/>
          <c:showBubbleSize val="0"/>
        </c:dLbls>
        <c:axId val="-2140854760"/>
        <c:axId val="-2140849272"/>
      </c:scatterChart>
      <c:valAx>
        <c:axId val="-2140854760"/>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40849272"/>
        <c:crosses val="autoZero"/>
        <c:crossBetween val="midCat"/>
      </c:valAx>
      <c:valAx>
        <c:axId val="-2140849272"/>
        <c:scaling>
          <c:orientation val="minMax"/>
        </c:scaling>
        <c:delete val="0"/>
        <c:axPos val="l"/>
        <c:majorGridlines/>
        <c:title>
          <c:tx>
            <c:rich>
              <a:bodyPr rot="-5400000" vert="horz"/>
              <a:lstStyle/>
              <a:p>
                <a:pPr>
                  <a:defRPr/>
                </a:pPr>
                <a:r>
                  <a:rPr lang="en-US"/>
                  <a:t>ng/L</a:t>
                </a:r>
              </a:p>
            </c:rich>
          </c:tx>
          <c:overlay val="0"/>
        </c:title>
        <c:numFmt formatCode="0" sourceLinked="1"/>
        <c:majorTickMark val="out"/>
        <c:minorTickMark val="none"/>
        <c:tickLblPos val="nextTo"/>
        <c:crossAx val="-2140854760"/>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xVal>
            <c:numRef>
              <c:f>'Mosher TotalsMetabolites 1.0 23'!$G$6:$G$23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TotalsMetabolites 1.0 23'!$C$6:$C$23</c:f>
              <c:numCache>
                <c:formatCode>0</c:formatCode>
                <c:ptCount val="18"/>
                <c:pt idx="0">
                  <c:v>2354.5039141369393</c:v>
                </c:pt>
                <c:pt idx="1">
                  <c:v>2336.0372167711598</c:v>
                </c:pt>
                <c:pt idx="2">
                  <c:v>2370.5378729275922</c:v>
                </c:pt>
                <c:pt idx="3">
                  <c:v>2703.4179557115235</c:v>
                </c:pt>
                <c:pt idx="4">
                  <c:v>1759.0113630062554</c:v>
                </c:pt>
                <c:pt idx="5">
                  <c:v>1581.8184190950981</c:v>
                </c:pt>
                <c:pt idx="6">
                  <c:v>2756.426150921568</c:v>
                </c:pt>
                <c:pt idx="7">
                  <c:v>2862.0363482748735</c:v>
                </c:pt>
                <c:pt idx="8">
                  <c:v>4059.5386415977569</c:v>
                </c:pt>
                <c:pt idx="9">
                  <c:v>3417.0958445285446</c:v>
                </c:pt>
                <c:pt idx="10">
                  <c:v>4295.7591738079655</c:v>
                </c:pt>
                <c:pt idx="11">
                  <c:v>5021.6700246915116</c:v>
                </c:pt>
                <c:pt idx="12">
                  <c:v>5435.991547102647</c:v>
                </c:pt>
                <c:pt idx="13">
                  <c:v>5983.2768548364911</c:v>
                </c:pt>
                <c:pt idx="14">
                  <c:v>5396.8923051491811</c:v>
                </c:pt>
                <c:pt idx="15">
                  <c:v>7852.3960947910573</c:v>
                </c:pt>
                <c:pt idx="16">
                  <c:v>8260.8421352246132</c:v>
                </c:pt>
                <c:pt idx="17">
                  <c:v>10221.919166873302</c:v>
                </c:pt>
              </c:numCache>
            </c:numRef>
          </c:yVal>
          <c:smooth val="0"/>
          <c:extLst>
            <c:ext xmlns:c16="http://schemas.microsoft.com/office/drawing/2014/chart" uri="{C3380CC4-5D6E-409C-BE32-E72D297353CC}">
              <c16:uniqueId val="{00000000-407A-8941-AB01-4823CEB1617A}"/>
            </c:ext>
          </c:extLst>
        </c:ser>
        <c:dLbls>
          <c:showLegendKey val="0"/>
          <c:showVal val="0"/>
          <c:showCatName val="0"/>
          <c:showSerName val="0"/>
          <c:showPercent val="0"/>
          <c:showBubbleSize val="0"/>
        </c:dLbls>
        <c:axId val="-2139547016"/>
        <c:axId val="-2139622120"/>
      </c:scatterChart>
      <c:valAx>
        <c:axId val="-2139547016"/>
        <c:scaling>
          <c:orientation val="minMax"/>
        </c:scaling>
        <c:delete val="0"/>
        <c:axPos val="b"/>
        <c:title>
          <c:tx>
            <c:rich>
              <a:bodyPr/>
              <a:lstStyle/>
              <a:p>
                <a:pPr>
                  <a:defRPr/>
                </a:pPr>
                <a:r>
                  <a:rPr lang="en-US"/>
                  <a:t>time</a:t>
                </a:r>
              </a:p>
            </c:rich>
          </c:tx>
          <c:overlay val="0"/>
        </c:title>
        <c:numFmt formatCode="General" sourceLinked="1"/>
        <c:majorTickMark val="out"/>
        <c:minorTickMark val="none"/>
        <c:tickLblPos val="nextTo"/>
        <c:crossAx val="-2139622120"/>
        <c:crosses val="autoZero"/>
        <c:crossBetween val="midCat"/>
      </c:valAx>
      <c:valAx>
        <c:axId val="-2139622120"/>
        <c:scaling>
          <c:orientation val="minMax"/>
        </c:scaling>
        <c:delete val="0"/>
        <c:axPos val="l"/>
        <c:majorGridlines/>
        <c:title>
          <c:tx>
            <c:rich>
              <a:bodyPr rot="-5400000" vert="horz"/>
              <a:lstStyle/>
              <a:p>
                <a:pPr>
                  <a:defRPr/>
                </a:pPr>
                <a:r>
                  <a:rPr lang="en-US"/>
                  <a:t>ng/g</a:t>
                </a:r>
                <a:r>
                  <a:rPr lang="en-US" baseline="0"/>
                  <a:t> ww</a:t>
                </a:r>
                <a:endParaRPr lang="en-US"/>
              </a:p>
            </c:rich>
          </c:tx>
          <c:overlay val="0"/>
        </c:title>
        <c:numFmt formatCode="0" sourceLinked="1"/>
        <c:majorTickMark val="out"/>
        <c:minorTickMark val="none"/>
        <c:tickLblPos val="nextTo"/>
        <c:crossAx val="-2139547016"/>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0"/>
          </c:trendline>
          <c:xVal>
            <c:numRef>
              <c:f>'Mosher Water Samples 1.0 23'!$I$11:$I$28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1.0 23'!$H$11:$H$28</c:f>
              <c:numCache>
                <c:formatCode>0.000</c:formatCode>
                <c:ptCount val="18"/>
                <c:pt idx="0">
                  <c:v>0.56554260682701041</c:v>
                </c:pt>
                <c:pt idx="1">
                  <c:v>0.49282998594925198</c:v>
                </c:pt>
                <c:pt idx="2">
                  <c:v>0.47667162575419458</c:v>
                </c:pt>
                <c:pt idx="3">
                  <c:v>0.32316720390114884</c:v>
                </c:pt>
                <c:pt idx="4">
                  <c:v>0.33932556409620629</c:v>
                </c:pt>
                <c:pt idx="5">
                  <c:v>0.36356310438879241</c:v>
                </c:pt>
                <c:pt idx="6">
                  <c:v>0.37164228448632119</c:v>
                </c:pt>
                <c:pt idx="7">
                  <c:v>0.33124638399867762</c:v>
                </c:pt>
                <c:pt idx="8">
                  <c:v>0.51706752624183816</c:v>
                </c:pt>
                <c:pt idx="9">
                  <c:v>0.37972146458384992</c:v>
                </c:pt>
                <c:pt idx="10">
                  <c:v>0.25045458302339035</c:v>
                </c:pt>
                <c:pt idx="11">
                  <c:v>0.38780064468137865</c:v>
                </c:pt>
                <c:pt idx="12">
                  <c:v>0.32316720390114884</c:v>
                </c:pt>
                <c:pt idx="13">
                  <c:v>0.4201173650714935</c:v>
                </c:pt>
                <c:pt idx="14">
                  <c:v>0.38780064468137865</c:v>
                </c:pt>
                <c:pt idx="15">
                  <c:v>0.38780064468137865</c:v>
                </c:pt>
                <c:pt idx="16">
                  <c:v>0.37972146458384992</c:v>
                </c:pt>
                <c:pt idx="17">
                  <c:v>0.50090916604678071</c:v>
                </c:pt>
              </c:numCache>
            </c:numRef>
          </c:yVal>
          <c:smooth val="0"/>
          <c:extLst>
            <c:ext xmlns:c16="http://schemas.microsoft.com/office/drawing/2014/chart" uri="{C3380CC4-5D6E-409C-BE32-E72D297353CC}">
              <c16:uniqueId val="{00000001-4A86-0143-83A4-C6E8F878C8F3}"/>
            </c:ext>
          </c:extLst>
        </c:ser>
        <c:dLbls>
          <c:showLegendKey val="0"/>
          <c:showVal val="0"/>
          <c:showCatName val="0"/>
          <c:showSerName val="0"/>
          <c:showPercent val="0"/>
          <c:showBubbleSize val="0"/>
        </c:dLbls>
        <c:axId val="-2141110088"/>
        <c:axId val="-2140515928"/>
      </c:scatterChart>
      <c:valAx>
        <c:axId val="-2141110088"/>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40515928"/>
        <c:crosses val="autoZero"/>
        <c:crossBetween val="midCat"/>
      </c:valAx>
      <c:valAx>
        <c:axId val="-2140515928"/>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41110088"/>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Mosher Slough</a:t>
            </a:r>
            <a:r>
              <a:rPr lang="en-US" baseline="0"/>
              <a:t> 6.0 ppt 23</a:t>
            </a:r>
            <a:r>
              <a:rPr lang="it-IT" sz="1800" b="0" i="0" baseline="0">
                <a:effectLst/>
              </a:rPr>
              <a:t>°</a:t>
            </a:r>
            <a:r>
              <a:rPr lang="it-IT" sz="1800" b="1" i="0" baseline="0">
                <a:effectLst/>
              </a:rPr>
              <a:t>C</a:t>
            </a:r>
            <a:endParaRPr lang="it-IT">
              <a:effectLst/>
            </a:endParaRPr>
          </a:p>
        </c:rich>
      </c:tx>
      <c:overlay val="0"/>
    </c:title>
    <c:autoTitleDeleted val="0"/>
    <c:plotArea>
      <c:layout/>
      <c:scatterChart>
        <c:scatterStyle val="lineMarker"/>
        <c:varyColors val="0"/>
        <c:ser>
          <c:idx val="0"/>
          <c:order val="0"/>
          <c:tx>
            <c:v>Total</c:v>
          </c:tx>
          <c:spPr>
            <a:ln w="47625">
              <a:noFill/>
            </a:ln>
          </c:spPr>
          <c:marker>
            <c:symbol val="circle"/>
            <c:size val="5"/>
            <c:spPr>
              <a:solidFill>
                <a:srgbClr val="3366FF"/>
              </a:solidFill>
            </c:spPr>
          </c:marker>
          <c:xVal>
            <c:numRef>
              <c:f>'Mosher TotalsMetabolites 6.0 23'!$G$3:$G$23</c:f>
              <c:numCache>
                <c:formatCode>General</c:formatCode>
                <c:ptCount val="21"/>
                <c:pt idx="0">
                  <c:v>0</c:v>
                </c:pt>
                <c:pt idx="1">
                  <c:v>0</c:v>
                </c:pt>
                <c:pt idx="2">
                  <c:v>0</c:v>
                </c:pt>
                <c:pt idx="3">
                  <c:v>3</c:v>
                </c:pt>
                <c:pt idx="4">
                  <c:v>3</c:v>
                </c:pt>
                <c:pt idx="5">
                  <c:v>3</c:v>
                </c:pt>
                <c:pt idx="6">
                  <c:v>6</c:v>
                </c:pt>
                <c:pt idx="7">
                  <c:v>6</c:v>
                </c:pt>
                <c:pt idx="8">
                  <c:v>6</c:v>
                </c:pt>
                <c:pt idx="9">
                  <c:v>12</c:v>
                </c:pt>
                <c:pt idx="10">
                  <c:v>12</c:v>
                </c:pt>
                <c:pt idx="11">
                  <c:v>12</c:v>
                </c:pt>
                <c:pt idx="12">
                  <c:v>16</c:v>
                </c:pt>
                <c:pt idx="13">
                  <c:v>16</c:v>
                </c:pt>
                <c:pt idx="14">
                  <c:v>16</c:v>
                </c:pt>
                <c:pt idx="15">
                  <c:v>24</c:v>
                </c:pt>
                <c:pt idx="16">
                  <c:v>24</c:v>
                </c:pt>
                <c:pt idx="17">
                  <c:v>24</c:v>
                </c:pt>
                <c:pt idx="18">
                  <c:v>36</c:v>
                </c:pt>
                <c:pt idx="19">
                  <c:v>36</c:v>
                </c:pt>
                <c:pt idx="20">
                  <c:v>36</c:v>
                </c:pt>
              </c:numCache>
            </c:numRef>
          </c:xVal>
          <c:yVal>
            <c:numRef>
              <c:f>'Mosher TotalsMetabolites 6.0 23'!$M$32:$M$52</c:f>
              <c:numCache>
                <c:formatCode>General</c:formatCode>
                <c:ptCount val="21"/>
                <c:pt idx="0">
                  <c:v>0</c:v>
                </c:pt>
                <c:pt idx="1">
                  <c:v>0</c:v>
                </c:pt>
                <c:pt idx="2">
                  <c:v>0</c:v>
                </c:pt>
                <c:pt idx="3">
                  <c:v>3092</c:v>
                </c:pt>
                <c:pt idx="4">
                  <c:v>2780</c:v>
                </c:pt>
                <c:pt idx="5">
                  <c:v>2380</c:v>
                </c:pt>
                <c:pt idx="6">
                  <c:v>3262</c:v>
                </c:pt>
                <c:pt idx="7">
                  <c:v>3613</c:v>
                </c:pt>
                <c:pt idx="8">
                  <c:v>3113</c:v>
                </c:pt>
                <c:pt idx="9">
                  <c:v>4422</c:v>
                </c:pt>
                <c:pt idx="10">
                  <c:v>5065</c:v>
                </c:pt>
                <c:pt idx="11">
                  <c:v>3392</c:v>
                </c:pt>
                <c:pt idx="12">
                  <c:v>4857</c:v>
                </c:pt>
                <c:pt idx="13">
                  <c:v>4098</c:v>
                </c:pt>
                <c:pt idx="14">
                  <c:v>6030</c:v>
                </c:pt>
                <c:pt idx="15">
                  <c:v>5629</c:v>
                </c:pt>
                <c:pt idx="16">
                  <c:v>5994</c:v>
                </c:pt>
                <c:pt idx="17">
                  <c:v>7642</c:v>
                </c:pt>
                <c:pt idx="18">
                  <c:v>6717</c:v>
                </c:pt>
                <c:pt idx="19">
                  <c:v>12415</c:v>
                </c:pt>
                <c:pt idx="20">
                  <c:v>8756</c:v>
                </c:pt>
              </c:numCache>
            </c:numRef>
          </c:yVal>
          <c:smooth val="0"/>
          <c:extLst>
            <c:ext xmlns:c16="http://schemas.microsoft.com/office/drawing/2014/chart" uri="{C3380CC4-5D6E-409C-BE32-E72D297353CC}">
              <c16:uniqueId val="{00000000-B5DA-374C-9246-40734E696C49}"/>
            </c:ext>
          </c:extLst>
        </c:ser>
        <c:ser>
          <c:idx val="1"/>
          <c:order val="1"/>
          <c:tx>
            <c:v>Parent </c:v>
          </c:tx>
          <c:spPr>
            <a:ln w="47625">
              <a:noFill/>
            </a:ln>
          </c:spPr>
          <c:marker>
            <c:symbol val="square"/>
            <c:size val="5"/>
            <c:spPr>
              <a:solidFill>
                <a:srgbClr val="FF0000"/>
              </a:solidFill>
            </c:spPr>
          </c:marker>
          <c:xVal>
            <c:numRef>
              <c:f>'Mosher TotalsMetabolites 6.0 23'!$G$3:$G$23</c:f>
              <c:numCache>
                <c:formatCode>General</c:formatCode>
                <c:ptCount val="21"/>
                <c:pt idx="0">
                  <c:v>0</c:v>
                </c:pt>
                <c:pt idx="1">
                  <c:v>0</c:v>
                </c:pt>
                <c:pt idx="2">
                  <c:v>0</c:v>
                </c:pt>
                <c:pt idx="3">
                  <c:v>3</c:v>
                </c:pt>
                <c:pt idx="4">
                  <c:v>3</c:v>
                </c:pt>
                <c:pt idx="5">
                  <c:v>3</c:v>
                </c:pt>
                <c:pt idx="6">
                  <c:v>6</c:v>
                </c:pt>
                <c:pt idx="7">
                  <c:v>6</c:v>
                </c:pt>
                <c:pt idx="8">
                  <c:v>6</c:v>
                </c:pt>
                <c:pt idx="9">
                  <c:v>12</c:v>
                </c:pt>
                <c:pt idx="10">
                  <c:v>12</c:v>
                </c:pt>
                <c:pt idx="11">
                  <c:v>12</c:v>
                </c:pt>
                <c:pt idx="12">
                  <c:v>16</c:v>
                </c:pt>
                <c:pt idx="13">
                  <c:v>16</c:v>
                </c:pt>
                <c:pt idx="14">
                  <c:v>16</c:v>
                </c:pt>
                <c:pt idx="15">
                  <c:v>24</c:v>
                </c:pt>
                <c:pt idx="16">
                  <c:v>24</c:v>
                </c:pt>
                <c:pt idx="17">
                  <c:v>24</c:v>
                </c:pt>
                <c:pt idx="18">
                  <c:v>36</c:v>
                </c:pt>
                <c:pt idx="19">
                  <c:v>36</c:v>
                </c:pt>
                <c:pt idx="20">
                  <c:v>36</c:v>
                </c:pt>
              </c:numCache>
            </c:numRef>
          </c:xVal>
          <c:yVal>
            <c:numRef>
              <c:f>'Mosher TotalsMetabolites 6.0 23'!$N$32:$N$52</c:f>
              <c:numCache>
                <c:formatCode>General</c:formatCode>
                <c:ptCount val="21"/>
                <c:pt idx="0">
                  <c:v>0</c:v>
                </c:pt>
                <c:pt idx="1">
                  <c:v>0</c:v>
                </c:pt>
                <c:pt idx="2">
                  <c:v>0</c:v>
                </c:pt>
                <c:pt idx="3" formatCode="0">
                  <c:v>2844.6400000000003</c:v>
                </c:pt>
                <c:pt idx="4" formatCode="0">
                  <c:v>2557.6</c:v>
                </c:pt>
                <c:pt idx="5" formatCode="0">
                  <c:v>2189.6</c:v>
                </c:pt>
                <c:pt idx="6" formatCode="0">
                  <c:v>2740.08</c:v>
                </c:pt>
                <c:pt idx="7" formatCode="0">
                  <c:v>3034.92</c:v>
                </c:pt>
                <c:pt idx="8" formatCode="0">
                  <c:v>2614.92</c:v>
                </c:pt>
                <c:pt idx="9" formatCode="0">
                  <c:v>3581.82</c:v>
                </c:pt>
                <c:pt idx="10" formatCode="0">
                  <c:v>4102.6500000000005</c:v>
                </c:pt>
                <c:pt idx="11" formatCode="0">
                  <c:v>2747.52</c:v>
                </c:pt>
                <c:pt idx="12" formatCode="0">
                  <c:v>3399.8999999999996</c:v>
                </c:pt>
                <c:pt idx="13" formatCode="0">
                  <c:v>2868.6</c:v>
                </c:pt>
                <c:pt idx="14" formatCode="0">
                  <c:v>4221</c:v>
                </c:pt>
                <c:pt idx="15" formatCode="0">
                  <c:v>3546.27</c:v>
                </c:pt>
                <c:pt idx="16" formatCode="0">
                  <c:v>3776.22</c:v>
                </c:pt>
                <c:pt idx="17" formatCode="0">
                  <c:v>4814.46</c:v>
                </c:pt>
                <c:pt idx="18" formatCode="0">
                  <c:v>3291.33</c:v>
                </c:pt>
                <c:pt idx="19" formatCode="0">
                  <c:v>6083.3499999999995</c:v>
                </c:pt>
                <c:pt idx="20" formatCode="0">
                  <c:v>4290.4399999999996</c:v>
                </c:pt>
              </c:numCache>
            </c:numRef>
          </c:yVal>
          <c:smooth val="0"/>
          <c:extLst>
            <c:ext xmlns:c16="http://schemas.microsoft.com/office/drawing/2014/chart" uri="{C3380CC4-5D6E-409C-BE32-E72D297353CC}">
              <c16:uniqueId val="{00000001-B5DA-374C-9246-40734E696C49}"/>
            </c:ext>
          </c:extLst>
        </c:ser>
        <c:ser>
          <c:idx val="2"/>
          <c:order val="2"/>
          <c:tx>
            <c:v>Metabolite</c:v>
          </c:tx>
          <c:spPr>
            <a:ln w="47625">
              <a:noFill/>
            </a:ln>
          </c:spPr>
          <c:marker>
            <c:symbol val="triangle"/>
            <c:size val="5"/>
            <c:spPr>
              <a:solidFill>
                <a:srgbClr val="008000"/>
              </a:solidFill>
            </c:spPr>
          </c:marker>
          <c:xVal>
            <c:numRef>
              <c:f>'Mosher TotalsMetabolites 6.0 23'!$L$32:$L$52</c:f>
              <c:numCache>
                <c:formatCode>General</c:formatCode>
                <c:ptCount val="21"/>
                <c:pt idx="0">
                  <c:v>0</c:v>
                </c:pt>
                <c:pt idx="1">
                  <c:v>0</c:v>
                </c:pt>
                <c:pt idx="2">
                  <c:v>0</c:v>
                </c:pt>
                <c:pt idx="3">
                  <c:v>3</c:v>
                </c:pt>
                <c:pt idx="4">
                  <c:v>3</c:v>
                </c:pt>
                <c:pt idx="5">
                  <c:v>3</c:v>
                </c:pt>
                <c:pt idx="6">
                  <c:v>6</c:v>
                </c:pt>
                <c:pt idx="7">
                  <c:v>6</c:v>
                </c:pt>
                <c:pt idx="8">
                  <c:v>6</c:v>
                </c:pt>
                <c:pt idx="9">
                  <c:v>12</c:v>
                </c:pt>
                <c:pt idx="10">
                  <c:v>12</c:v>
                </c:pt>
                <c:pt idx="11">
                  <c:v>12</c:v>
                </c:pt>
                <c:pt idx="12">
                  <c:v>16</c:v>
                </c:pt>
                <c:pt idx="13">
                  <c:v>16</c:v>
                </c:pt>
                <c:pt idx="14">
                  <c:v>16</c:v>
                </c:pt>
                <c:pt idx="15">
                  <c:v>24</c:v>
                </c:pt>
                <c:pt idx="16">
                  <c:v>24</c:v>
                </c:pt>
                <c:pt idx="17">
                  <c:v>24</c:v>
                </c:pt>
                <c:pt idx="18">
                  <c:v>36</c:v>
                </c:pt>
                <c:pt idx="19">
                  <c:v>36</c:v>
                </c:pt>
                <c:pt idx="20">
                  <c:v>36</c:v>
                </c:pt>
              </c:numCache>
            </c:numRef>
          </c:xVal>
          <c:yVal>
            <c:numRef>
              <c:f>'Mosher TotalsMetabolites 6.0 23'!$O$32:$O$52</c:f>
              <c:numCache>
                <c:formatCode>General</c:formatCode>
                <c:ptCount val="21"/>
                <c:pt idx="0">
                  <c:v>0</c:v>
                </c:pt>
                <c:pt idx="1">
                  <c:v>0</c:v>
                </c:pt>
                <c:pt idx="2">
                  <c:v>0</c:v>
                </c:pt>
                <c:pt idx="3" formatCode="0">
                  <c:v>247.35999999999967</c:v>
                </c:pt>
                <c:pt idx="4" formatCode="0">
                  <c:v>222.40000000000009</c:v>
                </c:pt>
                <c:pt idx="5" formatCode="0">
                  <c:v>190.40000000000009</c:v>
                </c:pt>
                <c:pt idx="6" formatCode="0">
                  <c:v>521.92000000000007</c:v>
                </c:pt>
                <c:pt idx="7" formatCode="0">
                  <c:v>578.07999999999993</c:v>
                </c:pt>
                <c:pt idx="8" formatCode="0">
                  <c:v>498.07999999999993</c:v>
                </c:pt>
                <c:pt idx="9" formatCode="0">
                  <c:v>840.17999999999984</c:v>
                </c:pt>
                <c:pt idx="10" formatCode="0">
                  <c:v>962.34999999999945</c:v>
                </c:pt>
                <c:pt idx="11" formatCode="0">
                  <c:v>644.48</c:v>
                </c:pt>
                <c:pt idx="12" formatCode="0">
                  <c:v>1457.1000000000004</c:v>
                </c:pt>
                <c:pt idx="13" formatCode="0">
                  <c:v>1229.4000000000001</c:v>
                </c:pt>
                <c:pt idx="14" formatCode="0">
                  <c:v>1809</c:v>
                </c:pt>
                <c:pt idx="15" formatCode="0">
                  <c:v>2082.73</c:v>
                </c:pt>
                <c:pt idx="16" formatCode="0">
                  <c:v>2217.7800000000002</c:v>
                </c:pt>
                <c:pt idx="17" formatCode="0">
                  <c:v>2827.54</c:v>
                </c:pt>
                <c:pt idx="18" formatCode="0">
                  <c:v>3425.67</c:v>
                </c:pt>
                <c:pt idx="19" formatCode="0">
                  <c:v>6331.6500000000005</c:v>
                </c:pt>
                <c:pt idx="20" formatCode="0">
                  <c:v>4465.5600000000004</c:v>
                </c:pt>
              </c:numCache>
            </c:numRef>
          </c:yVal>
          <c:smooth val="0"/>
          <c:extLst>
            <c:ext xmlns:c16="http://schemas.microsoft.com/office/drawing/2014/chart" uri="{C3380CC4-5D6E-409C-BE32-E72D297353CC}">
              <c16:uniqueId val="{00000002-B5DA-374C-9246-40734E696C49}"/>
            </c:ext>
          </c:extLst>
        </c:ser>
        <c:ser>
          <c:idx val="3"/>
          <c:order val="3"/>
          <c:tx>
            <c:v>0-3</c:v>
          </c:tx>
          <c:spPr>
            <a:ln w="47625">
              <a:noFill/>
            </a:ln>
          </c:spPr>
          <c:marker>
            <c:symbol val="none"/>
          </c:marker>
          <c:trendline>
            <c:spPr>
              <a:ln>
                <a:solidFill>
                  <a:srgbClr val="3366FF"/>
                </a:solidFill>
              </a:ln>
            </c:spPr>
            <c:trendlineType val="linear"/>
            <c:dispRSqr val="0"/>
            <c:dispEq val="0"/>
          </c:trendline>
          <c:xVal>
            <c:numRef>
              <c:f>'Mosher TotalsMetabolites 6.0 23'!$I$20:$I$21</c:f>
              <c:numCache>
                <c:formatCode>General</c:formatCode>
                <c:ptCount val="2"/>
                <c:pt idx="0">
                  <c:v>0</c:v>
                </c:pt>
                <c:pt idx="1">
                  <c:v>3</c:v>
                </c:pt>
              </c:numCache>
            </c:numRef>
          </c:xVal>
          <c:yVal>
            <c:numRef>
              <c:f>'Mosher TotalsMetabolites 6.0 23'!$J$20:$J$21</c:f>
              <c:numCache>
                <c:formatCode>General</c:formatCode>
                <c:ptCount val="2"/>
                <c:pt idx="0">
                  <c:v>0</c:v>
                </c:pt>
                <c:pt idx="1">
                  <c:v>2751</c:v>
                </c:pt>
              </c:numCache>
            </c:numRef>
          </c:yVal>
          <c:smooth val="0"/>
          <c:extLst>
            <c:ext xmlns:c16="http://schemas.microsoft.com/office/drawing/2014/chart" uri="{C3380CC4-5D6E-409C-BE32-E72D297353CC}">
              <c16:uniqueId val="{00000004-B5DA-374C-9246-40734E696C49}"/>
            </c:ext>
          </c:extLst>
        </c:ser>
        <c:ser>
          <c:idx val="4"/>
          <c:order val="4"/>
          <c:tx>
            <c:v>6-Mar</c:v>
          </c:tx>
          <c:spPr>
            <a:ln w="47625">
              <a:noFill/>
            </a:ln>
          </c:spPr>
          <c:marker>
            <c:symbol val="none"/>
          </c:marker>
          <c:trendline>
            <c:spPr>
              <a:ln>
                <a:solidFill>
                  <a:srgbClr val="3366FF"/>
                </a:solidFill>
              </a:ln>
            </c:spPr>
            <c:trendlineType val="linear"/>
            <c:dispRSqr val="0"/>
            <c:dispEq val="0"/>
          </c:trendline>
          <c:xVal>
            <c:numRef>
              <c:f>'Mosher TotalsMetabolites 6.0 23'!$I$21:$I$22</c:f>
              <c:numCache>
                <c:formatCode>General</c:formatCode>
                <c:ptCount val="2"/>
                <c:pt idx="0">
                  <c:v>3</c:v>
                </c:pt>
                <c:pt idx="1">
                  <c:v>6</c:v>
                </c:pt>
              </c:numCache>
            </c:numRef>
          </c:xVal>
          <c:yVal>
            <c:numRef>
              <c:f>'Mosher TotalsMetabolites 6.0 23'!$J$21:$J$22</c:f>
              <c:numCache>
                <c:formatCode>General</c:formatCode>
                <c:ptCount val="2"/>
                <c:pt idx="0">
                  <c:v>2751</c:v>
                </c:pt>
                <c:pt idx="1">
                  <c:v>3329</c:v>
                </c:pt>
              </c:numCache>
            </c:numRef>
          </c:yVal>
          <c:smooth val="0"/>
          <c:extLst>
            <c:ext xmlns:c16="http://schemas.microsoft.com/office/drawing/2014/chart" uri="{C3380CC4-5D6E-409C-BE32-E72D297353CC}">
              <c16:uniqueId val="{00000006-B5DA-374C-9246-40734E696C49}"/>
            </c:ext>
          </c:extLst>
        </c:ser>
        <c:ser>
          <c:idx val="5"/>
          <c:order val="5"/>
          <c:tx>
            <c:v>12-Jun</c:v>
          </c:tx>
          <c:spPr>
            <a:ln w="47625">
              <a:noFill/>
            </a:ln>
          </c:spPr>
          <c:marker>
            <c:symbol val="none"/>
          </c:marker>
          <c:trendline>
            <c:spPr>
              <a:ln>
                <a:solidFill>
                  <a:srgbClr val="3366FF"/>
                </a:solidFill>
              </a:ln>
            </c:spPr>
            <c:trendlineType val="linear"/>
            <c:dispRSqr val="0"/>
            <c:dispEq val="0"/>
          </c:trendline>
          <c:xVal>
            <c:numRef>
              <c:f>'Mosher TotalsMetabolites 6.0 23'!$I$22:$I$23</c:f>
              <c:numCache>
                <c:formatCode>General</c:formatCode>
                <c:ptCount val="2"/>
                <c:pt idx="0">
                  <c:v>6</c:v>
                </c:pt>
                <c:pt idx="1">
                  <c:v>12</c:v>
                </c:pt>
              </c:numCache>
            </c:numRef>
          </c:xVal>
          <c:yVal>
            <c:numRef>
              <c:f>'Mosher TotalsMetabolites 6.0 23'!$J$22:$J$23</c:f>
              <c:numCache>
                <c:formatCode>General</c:formatCode>
                <c:ptCount val="2"/>
                <c:pt idx="0">
                  <c:v>3329</c:v>
                </c:pt>
                <c:pt idx="1">
                  <c:v>4293</c:v>
                </c:pt>
              </c:numCache>
            </c:numRef>
          </c:yVal>
          <c:smooth val="0"/>
          <c:extLst>
            <c:ext xmlns:c16="http://schemas.microsoft.com/office/drawing/2014/chart" uri="{C3380CC4-5D6E-409C-BE32-E72D297353CC}">
              <c16:uniqueId val="{00000008-B5DA-374C-9246-40734E696C49}"/>
            </c:ext>
          </c:extLst>
        </c:ser>
        <c:ser>
          <c:idx val="6"/>
          <c:order val="6"/>
          <c:tx>
            <c:v>16-Dec</c:v>
          </c:tx>
          <c:spPr>
            <a:ln w="47625">
              <a:noFill/>
            </a:ln>
          </c:spPr>
          <c:marker>
            <c:symbol val="none"/>
          </c:marker>
          <c:trendline>
            <c:spPr>
              <a:ln>
                <a:solidFill>
                  <a:srgbClr val="3366FF"/>
                </a:solidFill>
              </a:ln>
            </c:spPr>
            <c:trendlineType val="linear"/>
            <c:dispRSqr val="0"/>
            <c:dispEq val="0"/>
          </c:trendline>
          <c:xVal>
            <c:numRef>
              <c:f>'Mosher TotalsMetabolites 6.0 23'!$I$23:$I$24</c:f>
              <c:numCache>
                <c:formatCode>General</c:formatCode>
                <c:ptCount val="2"/>
                <c:pt idx="0">
                  <c:v>12</c:v>
                </c:pt>
                <c:pt idx="1">
                  <c:v>16</c:v>
                </c:pt>
              </c:numCache>
            </c:numRef>
          </c:xVal>
          <c:yVal>
            <c:numRef>
              <c:f>'Mosher TotalsMetabolites 6.0 23'!$J$23:$J$24</c:f>
              <c:numCache>
                <c:formatCode>General</c:formatCode>
                <c:ptCount val="2"/>
                <c:pt idx="0">
                  <c:v>4293</c:v>
                </c:pt>
                <c:pt idx="1">
                  <c:v>4995</c:v>
                </c:pt>
              </c:numCache>
            </c:numRef>
          </c:yVal>
          <c:smooth val="0"/>
          <c:extLst>
            <c:ext xmlns:c16="http://schemas.microsoft.com/office/drawing/2014/chart" uri="{C3380CC4-5D6E-409C-BE32-E72D297353CC}">
              <c16:uniqueId val="{0000000A-B5DA-374C-9246-40734E696C49}"/>
            </c:ext>
          </c:extLst>
        </c:ser>
        <c:ser>
          <c:idx val="7"/>
          <c:order val="7"/>
          <c:tx>
            <c:v>16-24</c:v>
          </c:tx>
          <c:spPr>
            <a:ln w="47625">
              <a:noFill/>
            </a:ln>
          </c:spPr>
          <c:marker>
            <c:symbol val="none"/>
          </c:marker>
          <c:trendline>
            <c:spPr>
              <a:ln>
                <a:solidFill>
                  <a:srgbClr val="3366FF"/>
                </a:solidFill>
              </a:ln>
            </c:spPr>
            <c:trendlineType val="linear"/>
            <c:dispRSqr val="0"/>
            <c:dispEq val="0"/>
          </c:trendline>
          <c:xVal>
            <c:numRef>
              <c:f>'Mosher TotalsMetabolites 6.0 23'!$I$24:$I$25</c:f>
              <c:numCache>
                <c:formatCode>General</c:formatCode>
                <c:ptCount val="2"/>
                <c:pt idx="0">
                  <c:v>16</c:v>
                </c:pt>
                <c:pt idx="1">
                  <c:v>24</c:v>
                </c:pt>
              </c:numCache>
            </c:numRef>
          </c:xVal>
          <c:yVal>
            <c:numRef>
              <c:f>'Mosher TotalsMetabolites 6.0 23'!$J$24:$J$25</c:f>
              <c:numCache>
                <c:formatCode>General</c:formatCode>
                <c:ptCount val="2"/>
                <c:pt idx="0">
                  <c:v>4995</c:v>
                </c:pt>
                <c:pt idx="1">
                  <c:v>6422</c:v>
                </c:pt>
              </c:numCache>
            </c:numRef>
          </c:yVal>
          <c:smooth val="0"/>
          <c:extLst>
            <c:ext xmlns:c16="http://schemas.microsoft.com/office/drawing/2014/chart" uri="{C3380CC4-5D6E-409C-BE32-E72D297353CC}">
              <c16:uniqueId val="{0000000C-B5DA-374C-9246-40734E696C49}"/>
            </c:ext>
          </c:extLst>
        </c:ser>
        <c:ser>
          <c:idx val="8"/>
          <c:order val="8"/>
          <c:tx>
            <c:v>24-36</c:v>
          </c:tx>
          <c:spPr>
            <a:ln w="47625">
              <a:noFill/>
            </a:ln>
          </c:spPr>
          <c:marker>
            <c:symbol val="none"/>
          </c:marker>
          <c:trendline>
            <c:spPr>
              <a:ln>
                <a:solidFill>
                  <a:srgbClr val="3366FF"/>
                </a:solidFill>
              </a:ln>
            </c:spPr>
            <c:trendlineType val="linear"/>
            <c:dispRSqr val="0"/>
            <c:dispEq val="0"/>
          </c:trendline>
          <c:xVal>
            <c:numRef>
              <c:f>'Mosher TotalsMetabolites 6.0 23'!$I$25:$I$26</c:f>
              <c:numCache>
                <c:formatCode>General</c:formatCode>
                <c:ptCount val="2"/>
                <c:pt idx="0">
                  <c:v>24</c:v>
                </c:pt>
                <c:pt idx="1">
                  <c:v>36</c:v>
                </c:pt>
              </c:numCache>
            </c:numRef>
          </c:xVal>
          <c:yVal>
            <c:numRef>
              <c:f>'Mosher TotalsMetabolites 6.0 23'!$J$25:$J$26</c:f>
              <c:numCache>
                <c:formatCode>General</c:formatCode>
                <c:ptCount val="2"/>
                <c:pt idx="0">
                  <c:v>6422</c:v>
                </c:pt>
                <c:pt idx="1">
                  <c:v>9296</c:v>
                </c:pt>
              </c:numCache>
            </c:numRef>
          </c:yVal>
          <c:smooth val="0"/>
          <c:extLst>
            <c:ext xmlns:c16="http://schemas.microsoft.com/office/drawing/2014/chart" uri="{C3380CC4-5D6E-409C-BE32-E72D297353CC}">
              <c16:uniqueId val="{0000000E-B5DA-374C-9246-40734E696C49}"/>
            </c:ext>
          </c:extLst>
        </c:ser>
        <c:ser>
          <c:idx val="9"/>
          <c:order val="9"/>
          <c:tx>
            <c:v>p0-3</c:v>
          </c:tx>
          <c:spPr>
            <a:ln w="47625">
              <a:noFill/>
            </a:ln>
          </c:spPr>
          <c:marker>
            <c:symbol val="none"/>
          </c:marker>
          <c:trendline>
            <c:spPr>
              <a:ln>
                <a:solidFill>
                  <a:srgbClr val="FF0000"/>
                </a:solidFill>
              </a:ln>
            </c:spPr>
            <c:trendlineType val="linear"/>
            <c:dispRSqr val="0"/>
            <c:dispEq val="0"/>
          </c:trendline>
          <c:xVal>
            <c:numRef>
              <c:f>'Mosher TotalsMetabolites 6.0 23'!$Q$31:$Q$32</c:f>
              <c:numCache>
                <c:formatCode>General</c:formatCode>
                <c:ptCount val="2"/>
                <c:pt idx="0">
                  <c:v>0</c:v>
                </c:pt>
                <c:pt idx="1">
                  <c:v>3</c:v>
                </c:pt>
              </c:numCache>
            </c:numRef>
          </c:xVal>
          <c:yVal>
            <c:numRef>
              <c:f>'Mosher TotalsMetabolites 6.0 23'!$R$31:$R$32</c:f>
              <c:numCache>
                <c:formatCode>0</c:formatCode>
                <c:ptCount val="2"/>
                <c:pt idx="0">
                  <c:v>0</c:v>
                </c:pt>
                <c:pt idx="1">
                  <c:v>2530.6133333333332</c:v>
                </c:pt>
              </c:numCache>
            </c:numRef>
          </c:yVal>
          <c:smooth val="0"/>
          <c:extLst>
            <c:ext xmlns:c16="http://schemas.microsoft.com/office/drawing/2014/chart" uri="{C3380CC4-5D6E-409C-BE32-E72D297353CC}">
              <c16:uniqueId val="{00000010-B5DA-374C-9246-40734E696C49}"/>
            </c:ext>
          </c:extLst>
        </c:ser>
        <c:ser>
          <c:idx val="10"/>
          <c:order val="10"/>
          <c:tx>
            <c:v>p3-6</c:v>
          </c:tx>
          <c:spPr>
            <a:ln w="47625">
              <a:noFill/>
            </a:ln>
          </c:spPr>
          <c:marker>
            <c:symbol val="none"/>
          </c:marker>
          <c:trendline>
            <c:spPr>
              <a:ln>
                <a:solidFill>
                  <a:srgbClr val="FF0000"/>
                </a:solidFill>
              </a:ln>
            </c:spPr>
            <c:trendlineType val="linear"/>
            <c:dispRSqr val="0"/>
            <c:dispEq val="0"/>
          </c:trendline>
          <c:xVal>
            <c:numRef>
              <c:f>'Mosher TotalsMetabolites 6.0 23'!$Q$32:$Q$33</c:f>
              <c:numCache>
                <c:formatCode>General</c:formatCode>
                <c:ptCount val="2"/>
                <c:pt idx="0">
                  <c:v>3</c:v>
                </c:pt>
                <c:pt idx="1">
                  <c:v>6</c:v>
                </c:pt>
              </c:numCache>
            </c:numRef>
          </c:xVal>
          <c:yVal>
            <c:numRef>
              <c:f>'Mosher TotalsMetabolites 6.0 23'!$R$32:$R$33</c:f>
              <c:numCache>
                <c:formatCode>0</c:formatCode>
                <c:ptCount val="2"/>
                <c:pt idx="0">
                  <c:v>2530.6133333333332</c:v>
                </c:pt>
                <c:pt idx="1">
                  <c:v>2796.64</c:v>
                </c:pt>
              </c:numCache>
            </c:numRef>
          </c:yVal>
          <c:smooth val="0"/>
          <c:extLst>
            <c:ext xmlns:c16="http://schemas.microsoft.com/office/drawing/2014/chart" uri="{C3380CC4-5D6E-409C-BE32-E72D297353CC}">
              <c16:uniqueId val="{00000012-B5DA-374C-9246-40734E696C49}"/>
            </c:ext>
          </c:extLst>
        </c:ser>
        <c:ser>
          <c:idx val="11"/>
          <c:order val="11"/>
          <c:tx>
            <c:v>p6-12</c:v>
          </c:tx>
          <c:spPr>
            <a:ln w="47625">
              <a:noFill/>
            </a:ln>
          </c:spPr>
          <c:marker>
            <c:symbol val="none"/>
          </c:marker>
          <c:trendline>
            <c:spPr>
              <a:ln>
                <a:solidFill>
                  <a:srgbClr val="FF0000"/>
                </a:solidFill>
              </a:ln>
            </c:spPr>
            <c:trendlineType val="linear"/>
            <c:dispRSqr val="0"/>
            <c:dispEq val="0"/>
          </c:trendline>
          <c:xVal>
            <c:numRef>
              <c:f>'Mosher TotalsMetabolites 6.0 23'!$Q$33:$Q$34</c:f>
              <c:numCache>
                <c:formatCode>General</c:formatCode>
                <c:ptCount val="2"/>
                <c:pt idx="0">
                  <c:v>6</c:v>
                </c:pt>
                <c:pt idx="1">
                  <c:v>12</c:v>
                </c:pt>
              </c:numCache>
            </c:numRef>
          </c:xVal>
          <c:yVal>
            <c:numRef>
              <c:f>'Mosher TotalsMetabolites 6.0 23'!$R$33:$R$34</c:f>
              <c:numCache>
                <c:formatCode>0</c:formatCode>
                <c:ptCount val="2"/>
                <c:pt idx="0">
                  <c:v>2796.64</c:v>
                </c:pt>
                <c:pt idx="1">
                  <c:v>3477.3300000000004</c:v>
                </c:pt>
              </c:numCache>
            </c:numRef>
          </c:yVal>
          <c:smooth val="0"/>
          <c:extLst>
            <c:ext xmlns:c16="http://schemas.microsoft.com/office/drawing/2014/chart" uri="{C3380CC4-5D6E-409C-BE32-E72D297353CC}">
              <c16:uniqueId val="{00000014-B5DA-374C-9246-40734E696C49}"/>
            </c:ext>
          </c:extLst>
        </c:ser>
        <c:ser>
          <c:idx val="12"/>
          <c:order val="12"/>
          <c:tx>
            <c:v>p12-16</c:v>
          </c:tx>
          <c:spPr>
            <a:ln w="47625">
              <a:noFill/>
            </a:ln>
          </c:spPr>
          <c:marker>
            <c:symbol val="none"/>
          </c:marker>
          <c:trendline>
            <c:spPr>
              <a:ln>
                <a:solidFill>
                  <a:srgbClr val="FF0000"/>
                </a:solidFill>
              </a:ln>
            </c:spPr>
            <c:trendlineType val="linear"/>
            <c:dispRSqr val="0"/>
            <c:dispEq val="0"/>
          </c:trendline>
          <c:xVal>
            <c:numRef>
              <c:f>'Mosher TotalsMetabolites 6.0 23'!$Q$34:$Q$35</c:f>
              <c:numCache>
                <c:formatCode>General</c:formatCode>
                <c:ptCount val="2"/>
                <c:pt idx="0">
                  <c:v>12</c:v>
                </c:pt>
                <c:pt idx="1">
                  <c:v>16</c:v>
                </c:pt>
              </c:numCache>
            </c:numRef>
          </c:xVal>
          <c:yVal>
            <c:numRef>
              <c:f>'Mosher TotalsMetabolites 6.0 23'!$R$34:$R$35</c:f>
              <c:numCache>
                <c:formatCode>0</c:formatCode>
                <c:ptCount val="2"/>
                <c:pt idx="0">
                  <c:v>3477.3300000000004</c:v>
                </c:pt>
                <c:pt idx="1">
                  <c:v>3496.5</c:v>
                </c:pt>
              </c:numCache>
            </c:numRef>
          </c:yVal>
          <c:smooth val="0"/>
          <c:extLst>
            <c:ext xmlns:c16="http://schemas.microsoft.com/office/drawing/2014/chart" uri="{C3380CC4-5D6E-409C-BE32-E72D297353CC}">
              <c16:uniqueId val="{00000016-B5DA-374C-9246-40734E696C49}"/>
            </c:ext>
          </c:extLst>
        </c:ser>
        <c:ser>
          <c:idx val="13"/>
          <c:order val="13"/>
          <c:tx>
            <c:v>p16-24</c:v>
          </c:tx>
          <c:spPr>
            <a:ln w="47625">
              <a:noFill/>
            </a:ln>
          </c:spPr>
          <c:marker>
            <c:symbol val="none"/>
          </c:marker>
          <c:trendline>
            <c:spPr>
              <a:ln>
                <a:solidFill>
                  <a:srgbClr val="FF0000"/>
                </a:solidFill>
              </a:ln>
            </c:spPr>
            <c:trendlineType val="linear"/>
            <c:dispRSqr val="0"/>
            <c:dispEq val="0"/>
          </c:trendline>
          <c:xVal>
            <c:numRef>
              <c:f>'Mosher TotalsMetabolites 6.0 23'!$Q$35:$Q$36</c:f>
              <c:numCache>
                <c:formatCode>General</c:formatCode>
                <c:ptCount val="2"/>
                <c:pt idx="0">
                  <c:v>16</c:v>
                </c:pt>
                <c:pt idx="1">
                  <c:v>24</c:v>
                </c:pt>
              </c:numCache>
            </c:numRef>
          </c:xVal>
          <c:yVal>
            <c:numRef>
              <c:f>'Mosher TotalsMetabolites 6.0 23'!$R$35:$R$36</c:f>
              <c:numCache>
                <c:formatCode>0</c:formatCode>
                <c:ptCount val="2"/>
                <c:pt idx="0">
                  <c:v>3496.5</c:v>
                </c:pt>
                <c:pt idx="1">
                  <c:v>4045.65</c:v>
                </c:pt>
              </c:numCache>
            </c:numRef>
          </c:yVal>
          <c:smooth val="0"/>
          <c:extLst>
            <c:ext xmlns:c16="http://schemas.microsoft.com/office/drawing/2014/chart" uri="{C3380CC4-5D6E-409C-BE32-E72D297353CC}">
              <c16:uniqueId val="{00000018-B5DA-374C-9246-40734E696C49}"/>
            </c:ext>
          </c:extLst>
        </c:ser>
        <c:ser>
          <c:idx val="14"/>
          <c:order val="14"/>
          <c:tx>
            <c:v>p24-36</c:v>
          </c:tx>
          <c:spPr>
            <a:ln w="47625">
              <a:noFill/>
            </a:ln>
          </c:spPr>
          <c:marker>
            <c:symbol val="none"/>
          </c:marker>
          <c:trendline>
            <c:spPr>
              <a:ln>
                <a:solidFill>
                  <a:srgbClr val="FF0000"/>
                </a:solidFill>
              </a:ln>
            </c:spPr>
            <c:trendlineType val="linear"/>
            <c:dispRSqr val="0"/>
            <c:dispEq val="0"/>
          </c:trendline>
          <c:xVal>
            <c:numRef>
              <c:f>'Mosher TotalsMetabolites 6.0 23'!$Q$36:$Q$37</c:f>
              <c:numCache>
                <c:formatCode>General</c:formatCode>
                <c:ptCount val="2"/>
                <c:pt idx="0">
                  <c:v>24</c:v>
                </c:pt>
                <c:pt idx="1">
                  <c:v>36</c:v>
                </c:pt>
              </c:numCache>
            </c:numRef>
          </c:xVal>
          <c:yVal>
            <c:numRef>
              <c:f>'Mosher TotalsMetabolites 6.0 23'!$R$36:$R$37</c:f>
              <c:numCache>
                <c:formatCode>0</c:formatCode>
                <c:ptCount val="2"/>
                <c:pt idx="0">
                  <c:v>4045.65</c:v>
                </c:pt>
                <c:pt idx="1">
                  <c:v>4555.04</c:v>
                </c:pt>
              </c:numCache>
            </c:numRef>
          </c:yVal>
          <c:smooth val="0"/>
          <c:extLst>
            <c:ext xmlns:c16="http://schemas.microsoft.com/office/drawing/2014/chart" uri="{C3380CC4-5D6E-409C-BE32-E72D297353CC}">
              <c16:uniqueId val="{0000001A-B5DA-374C-9246-40734E696C49}"/>
            </c:ext>
          </c:extLst>
        </c:ser>
        <c:ser>
          <c:idx val="15"/>
          <c:order val="15"/>
          <c:tx>
            <c:v>m0-3</c:v>
          </c:tx>
          <c:spPr>
            <a:ln w="47625">
              <a:noFill/>
            </a:ln>
          </c:spPr>
          <c:marker>
            <c:symbol val="none"/>
          </c:marker>
          <c:trendline>
            <c:spPr>
              <a:ln>
                <a:solidFill>
                  <a:srgbClr val="008000"/>
                </a:solidFill>
              </a:ln>
            </c:spPr>
            <c:trendlineType val="linear"/>
            <c:dispRSqr val="0"/>
            <c:dispEq val="0"/>
          </c:trendline>
          <c:xVal>
            <c:numRef>
              <c:f>'Mosher TotalsMetabolites 6.0 23'!$S$31:$S$32</c:f>
              <c:numCache>
                <c:formatCode>General</c:formatCode>
                <c:ptCount val="2"/>
                <c:pt idx="0">
                  <c:v>0</c:v>
                </c:pt>
                <c:pt idx="1">
                  <c:v>3</c:v>
                </c:pt>
              </c:numCache>
            </c:numRef>
          </c:xVal>
          <c:yVal>
            <c:numRef>
              <c:f>'Mosher TotalsMetabolites 6.0 23'!$T$31:$T$32</c:f>
              <c:numCache>
                <c:formatCode>0</c:formatCode>
                <c:ptCount val="2"/>
                <c:pt idx="0" formatCode="General">
                  <c:v>0</c:v>
                </c:pt>
                <c:pt idx="1">
                  <c:v>220.05333333333328</c:v>
                </c:pt>
              </c:numCache>
            </c:numRef>
          </c:yVal>
          <c:smooth val="0"/>
          <c:extLst>
            <c:ext xmlns:c16="http://schemas.microsoft.com/office/drawing/2014/chart" uri="{C3380CC4-5D6E-409C-BE32-E72D297353CC}">
              <c16:uniqueId val="{0000001C-B5DA-374C-9246-40734E696C49}"/>
            </c:ext>
          </c:extLst>
        </c:ser>
        <c:ser>
          <c:idx val="16"/>
          <c:order val="16"/>
          <c:tx>
            <c:v>m3-6</c:v>
          </c:tx>
          <c:spPr>
            <a:ln w="47625">
              <a:noFill/>
            </a:ln>
          </c:spPr>
          <c:marker>
            <c:symbol val="none"/>
          </c:marker>
          <c:trendline>
            <c:spPr>
              <a:ln>
                <a:solidFill>
                  <a:srgbClr val="008000"/>
                </a:solidFill>
              </a:ln>
            </c:spPr>
            <c:trendlineType val="linear"/>
            <c:dispRSqr val="0"/>
            <c:dispEq val="0"/>
          </c:trendline>
          <c:xVal>
            <c:numRef>
              <c:f>'Mosher TotalsMetabolites 6.0 23'!$S$32:$S$33</c:f>
              <c:numCache>
                <c:formatCode>General</c:formatCode>
                <c:ptCount val="2"/>
                <c:pt idx="0">
                  <c:v>3</c:v>
                </c:pt>
                <c:pt idx="1">
                  <c:v>6</c:v>
                </c:pt>
              </c:numCache>
            </c:numRef>
          </c:xVal>
          <c:yVal>
            <c:numRef>
              <c:f>'Mosher TotalsMetabolites 6.0 23'!$T$32:$T$33</c:f>
              <c:numCache>
                <c:formatCode>0</c:formatCode>
                <c:ptCount val="2"/>
                <c:pt idx="0">
                  <c:v>220.05333333333328</c:v>
                </c:pt>
                <c:pt idx="1">
                  <c:v>532.69333333333327</c:v>
                </c:pt>
              </c:numCache>
            </c:numRef>
          </c:yVal>
          <c:smooth val="0"/>
          <c:extLst>
            <c:ext xmlns:c16="http://schemas.microsoft.com/office/drawing/2014/chart" uri="{C3380CC4-5D6E-409C-BE32-E72D297353CC}">
              <c16:uniqueId val="{0000001E-B5DA-374C-9246-40734E696C49}"/>
            </c:ext>
          </c:extLst>
        </c:ser>
        <c:ser>
          <c:idx val="17"/>
          <c:order val="17"/>
          <c:tx>
            <c:v>m6-12</c:v>
          </c:tx>
          <c:spPr>
            <a:ln w="47625">
              <a:noFill/>
            </a:ln>
          </c:spPr>
          <c:marker>
            <c:symbol val="none"/>
          </c:marker>
          <c:trendline>
            <c:spPr>
              <a:ln>
                <a:solidFill>
                  <a:srgbClr val="008000"/>
                </a:solidFill>
              </a:ln>
            </c:spPr>
            <c:trendlineType val="linear"/>
            <c:dispRSqr val="0"/>
            <c:dispEq val="0"/>
          </c:trendline>
          <c:xVal>
            <c:numRef>
              <c:f>'Mosher TotalsMetabolites 6.0 23'!$S$33:$S$34</c:f>
              <c:numCache>
                <c:formatCode>General</c:formatCode>
                <c:ptCount val="2"/>
                <c:pt idx="0">
                  <c:v>6</c:v>
                </c:pt>
                <c:pt idx="1">
                  <c:v>12</c:v>
                </c:pt>
              </c:numCache>
            </c:numRef>
          </c:xVal>
          <c:yVal>
            <c:numRef>
              <c:f>'Mosher TotalsMetabolites 6.0 23'!$T$33:$T$34</c:f>
              <c:numCache>
                <c:formatCode>0</c:formatCode>
                <c:ptCount val="2"/>
                <c:pt idx="0">
                  <c:v>532.69333333333327</c:v>
                </c:pt>
                <c:pt idx="1">
                  <c:v>815.66999999999973</c:v>
                </c:pt>
              </c:numCache>
            </c:numRef>
          </c:yVal>
          <c:smooth val="0"/>
          <c:extLst>
            <c:ext xmlns:c16="http://schemas.microsoft.com/office/drawing/2014/chart" uri="{C3380CC4-5D6E-409C-BE32-E72D297353CC}">
              <c16:uniqueId val="{00000020-B5DA-374C-9246-40734E696C49}"/>
            </c:ext>
          </c:extLst>
        </c:ser>
        <c:ser>
          <c:idx val="18"/>
          <c:order val="18"/>
          <c:tx>
            <c:v>m12-16</c:v>
          </c:tx>
          <c:spPr>
            <a:ln w="47625">
              <a:noFill/>
            </a:ln>
          </c:spPr>
          <c:marker>
            <c:symbol val="none"/>
          </c:marker>
          <c:trendline>
            <c:spPr>
              <a:ln>
                <a:solidFill>
                  <a:srgbClr val="008000"/>
                </a:solidFill>
              </a:ln>
            </c:spPr>
            <c:trendlineType val="linear"/>
            <c:dispRSqr val="0"/>
            <c:dispEq val="0"/>
          </c:trendline>
          <c:xVal>
            <c:numRef>
              <c:f>'Mosher TotalsMetabolites 6.0 23'!$S$34:$S$35</c:f>
              <c:numCache>
                <c:formatCode>General</c:formatCode>
                <c:ptCount val="2"/>
                <c:pt idx="0">
                  <c:v>12</c:v>
                </c:pt>
                <c:pt idx="1">
                  <c:v>16</c:v>
                </c:pt>
              </c:numCache>
            </c:numRef>
          </c:xVal>
          <c:yVal>
            <c:numRef>
              <c:f>'Mosher TotalsMetabolites 6.0 23'!$T$34:$T$35</c:f>
              <c:numCache>
                <c:formatCode>0</c:formatCode>
                <c:ptCount val="2"/>
                <c:pt idx="0">
                  <c:v>815.66999999999973</c:v>
                </c:pt>
                <c:pt idx="1">
                  <c:v>1498.5</c:v>
                </c:pt>
              </c:numCache>
            </c:numRef>
          </c:yVal>
          <c:smooth val="0"/>
          <c:extLst>
            <c:ext xmlns:c16="http://schemas.microsoft.com/office/drawing/2014/chart" uri="{C3380CC4-5D6E-409C-BE32-E72D297353CC}">
              <c16:uniqueId val="{00000022-B5DA-374C-9246-40734E696C49}"/>
            </c:ext>
          </c:extLst>
        </c:ser>
        <c:ser>
          <c:idx val="19"/>
          <c:order val="19"/>
          <c:tx>
            <c:v>m16-24</c:v>
          </c:tx>
          <c:spPr>
            <a:ln w="47625">
              <a:noFill/>
            </a:ln>
          </c:spPr>
          <c:marker>
            <c:symbol val="none"/>
          </c:marker>
          <c:trendline>
            <c:spPr>
              <a:ln>
                <a:solidFill>
                  <a:srgbClr val="008000"/>
                </a:solidFill>
              </a:ln>
            </c:spPr>
            <c:trendlineType val="linear"/>
            <c:dispRSqr val="0"/>
            <c:dispEq val="0"/>
          </c:trendline>
          <c:xVal>
            <c:numRef>
              <c:f>'Mosher TotalsMetabolites 6.0 23'!$S$35:$S$36</c:f>
              <c:numCache>
                <c:formatCode>General</c:formatCode>
                <c:ptCount val="2"/>
                <c:pt idx="0">
                  <c:v>16</c:v>
                </c:pt>
                <c:pt idx="1">
                  <c:v>24</c:v>
                </c:pt>
              </c:numCache>
            </c:numRef>
          </c:xVal>
          <c:yVal>
            <c:numRef>
              <c:f>'Mosher TotalsMetabolites 6.0 23'!$T$35:$T$36</c:f>
              <c:numCache>
                <c:formatCode>0</c:formatCode>
                <c:ptCount val="2"/>
                <c:pt idx="0">
                  <c:v>1498.5</c:v>
                </c:pt>
                <c:pt idx="1">
                  <c:v>2376.0166666666669</c:v>
                </c:pt>
              </c:numCache>
            </c:numRef>
          </c:yVal>
          <c:smooth val="0"/>
          <c:extLst>
            <c:ext xmlns:c16="http://schemas.microsoft.com/office/drawing/2014/chart" uri="{C3380CC4-5D6E-409C-BE32-E72D297353CC}">
              <c16:uniqueId val="{00000024-B5DA-374C-9246-40734E696C49}"/>
            </c:ext>
          </c:extLst>
        </c:ser>
        <c:ser>
          <c:idx val="20"/>
          <c:order val="20"/>
          <c:tx>
            <c:v>m24-36</c:v>
          </c:tx>
          <c:spPr>
            <a:ln w="47625">
              <a:noFill/>
            </a:ln>
          </c:spPr>
          <c:marker>
            <c:symbol val="none"/>
          </c:marker>
          <c:trendline>
            <c:spPr>
              <a:ln>
                <a:solidFill>
                  <a:srgbClr val="008000"/>
                </a:solidFill>
              </a:ln>
            </c:spPr>
            <c:trendlineType val="linear"/>
            <c:dispRSqr val="0"/>
            <c:dispEq val="0"/>
          </c:trendline>
          <c:xVal>
            <c:numRef>
              <c:f>'Mosher TotalsMetabolites 6.0 23'!$S$36:$S$37</c:f>
              <c:numCache>
                <c:formatCode>General</c:formatCode>
                <c:ptCount val="2"/>
                <c:pt idx="0">
                  <c:v>24</c:v>
                </c:pt>
                <c:pt idx="1">
                  <c:v>36</c:v>
                </c:pt>
              </c:numCache>
            </c:numRef>
          </c:xVal>
          <c:yVal>
            <c:numRef>
              <c:f>'Mosher TotalsMetabolites 6.0 23'!$T$36:$T$37</c:f>
              <c:numCache>
                <c:formatCode>0</c:formatCode>
                <c:ptCount val="2"/>
                <c:pt idx="0">
                  <c:v>2376.0166666666669</c:v>
                </c:pt>
                <c:pt idx="1">
                  <c:v>4740.96</c:v>
                </c:pt>
              </c:numCache>
            </c:numRef>
          </c:yVal>
          <c:smooth val="0"/>
          <c:extLst>
            <c:ext xmlns:c16="http://schemas.microsoft.com/office/drawing/2014/chart" uri="{C3380CC4-5D6E-409C-BE32-E72D297353CC}">
              <c16:uniqueId val="{00000026-B5DA-374C-9246-40734E696C49}"/>
            </c:ext>
          </c:extLst>
        </c:ser>
        <c:dLbls>
          <c:showLegendKey val="0"/>
          <c:showVal val="0"/>
          <c:showCatName val="0"/>
          <c:showSerName val="0"/>
          <c:showPercent val="0"/>
          <c:showBubbleSize val="0"/>
        </c:dLbls>
        <c:axId val="2133323720"/>
        <c:axId val="2133329096"/>
      </c:scatterChart>
      <c:valAx>
        <c:axId val="2133323720"/>
        <c:scaling>
          <c:orientation val="minMax"/>
        </c:scaling>
        <c:delete val="0"/>
        <c:axPos val="b"/>
        <c:title>
          <c:tx>
            <c:rich>
              <a:bodyPr/>
              <a:lstStyle/>
              <a:p>
                <a:pPr>
                  <a:defRPr/>
                </a:pPr>
                <a:r>
                  <a:rPr lang="en-US"/>
                  <a:t>Time (h)</a:t>
                </a:r>
              </a:p>
            </c:rich>
          </c:tx>
          <c:overlay val="0"/>
        </c:title>
        <c:numFmt formatCode="General" sourceLinked="1"/>
        <c:majorTickMark val="out"/>
        <c:minorTickMark val="none"/>
        <c:tickLblPos val="nextTo"/>
        <c:crossAx val="2133329096"/>
        <c:crosses val="autoZero"/>
        <c:crossBetween val="midCat"/>
      </c:valAx>
      <c:valAx>
        <c:axId val="2133329096"/>
        <c:scaling>
          <c:orientation val="minMax"/>
        </c:scaling>
        <c:delete val="0"/>
        <c:axPos val="l"/>
        <c:title>
          <c:tx>
            <c:rich>
              <a:bodyPr rot="-5400000" vert="horz"/>
              <a:lstStyle/>
              <a:p>
                <a:pPr>
                  <a:defRPr/>
                </a:pPr>
                <a:r>
                  <a:rPr lang="en-US"/>
                  <a:t>Body residue (ng/g)</a:t>
                </a:r>
              </a:p>
            </c:rich>
          </c:tx>
          <c:overlay val="0"/>
        </c:title>
        <c:numFmt formatCode="General" sourceLinked="1"/>
        <c:majorTickMark val="out"/>
        <c:minorTickMark val="none"/>
        <c:tickLblPos val="nextTo"/>
        <c:crossAx val="2133323720"/>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3373665791776003"/>
                  <c:y val="0.217158428113153"/>
                </c:manualLayout>
              </c:layout>
              <c:numFmt formatCode="General" sourceLinked="0"/>
            </c:trendlineLbl>
          </c:trendline>
          <c:xVal>
            <c:numRef>
              <c:f>'Mosher Water Samples 6.0 23'!$I$11:$I$28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6.0 23'!$H$11:$H$28</c:f>
              <c:numCache>
                <c:formatCode>0.000</c:formatCode>
                <c:ptCount val="18"/>
                <c:pt idx="0">
                  <c:v>0.58170096702206786</c:v>
                </c:pt>
                <c:pt idx="1">
                  <c:v>0.47667162575419458</c:v>
                </c:pt>
                <c:pt idx="2">
                  <c:v>0.39587982477890743</c:v>
                </c:pt>
                <c:pt idx="3">
                  <c:v>0.36356310438879241</c:v>
                </c:pt>
                <c:pt idx="4">
                  <c:v>0.35548392429126374</c:v>
                </c:pt>
                <c:pt idx="5">
                  <c:v>0.39587982477890743</c:v>
                </c:pt>
                <c:pt idx="6">
                  <c:v>0.34740474419373502</c:v>
                </c:pt>
                <c:pt idx="7">
                  <c:v>0.35548392429126374</c:v>
                </c:pt>
                <c:pt idx="8">
                  <c:v>0.37972146458384992</c:v>
                </c:pt>
                <c:pt idx="9">
                  <c:v>0.31508802380362017</c:v>
                </c:pt>
                <c:pt idx="10">
                  <c:v>0.25853376312091908</c:v>
                </c:pt>
                <c:pt idx="11">
                  <c:v>0.41203818497396477</c:v>
                </c:pt>
                <c:pt idx="12">
                  <c:v>0.26661294321844781</c:v>
                </c:pt>
                <c:pt idx="13">
                  <c:v>0.30700884370609138</c:v>
                </c:pt>
                <c:pt idx="14">
                  <c:v>0.31508802380362017</c:v>
                </c:pt>
                <c:pt idx="15">
                  <c:v>0.27469212331597653</c:v>
                </c:pt>
                <c:pt idx="16">
                  <c:v>0.32316720390114884</c:v>
                </c:pt>
                <c:pt idx="17">
                  <c:v>0.38780064468137865</c:v>
                </c:pt>
              </c:numCache>
            </c:numRef>
          </c:yVal>
          <c:smooth val="0"/>
          <c:extLst>
            <c:ext xmlns:c16="http://schemas.microsoft.com/office/drawing/2014/chart" uri="{C3380CC4-5D6E-409C-BE32-E72D297353CC}">
              <c16:uniqueId val="{00000001-F973-8E42-827F-62BF1DD15ACC}"/>
            </c:ext>
          </c:extLst>
        </c:ser>
        <c:dLbls>
          <c:showLegendKey val="0"/>
          <c:showVal val="0"/>
          <c:showCatName val="0"/>
          <c:showSerName val="0"/>
          <c:showPercent val="0"/>
          <c:showBubbleSize val="0"/>
        </c:dLbls>
        <c:axId val="-2144465800"/>
        <c:axId val="2121513064"/>
      </c:scatterChart>
      <c:valAx>
        <c:axId val="-2144465800"/>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21513064"/>
        <c:crosses val="autoZero"/>
        <c:crossBetween val="midCat"/>
      </c:valAx>
      <c:valAx>
        <c:axId val="2121513064"/>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44465800"/>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'Mosher TotalsMetabolites 0.2 28'!$G$4:$G$23</c:f>
              <c:numCache>
                <c:formatCode>General</c:formatCode>
                <c:ptCount val="20"/>
                <c:pt idx="0">
                  <c:v>0</c:v>
                </c:pt>
                <c:pt idx="1">
                  <c:v>0</c:v>
                </c:pt>
                <c:pt idx="2">
                  <c:v>3</c:v>
                </c:pt>
                <c:pt idx="3">
                  <c:v>3</c:v>
                </c:pt>
                <c:pt idx="4">
                  <c:v>3</c:v>
                </c:pt>
                <c:pt idx="5">
                  <c:v>6</c:v>
                </c:pt>
                <c:pt idx="6">
                  <c:v>6</c:v>
                </c:pt>
                <c:pt idx="7">
                  <c:v>6</c:v>
                </c:pt>
                <c:pt idx="8">
                  <c:v>12</c:v>
                </c:pt>
                <c:pt idx="9">
                  <c:v>12</c:v>
                </c:pt>
                <c:pt idx="10">
                  <c:v>12</c:v>
                </c:pt>
                <c:pt idx="11">
                  <c:v>16</c:v>
                </c:pt>
                <c:pt idx="12">
                  <c:v>16</c:v>
                </c:pt>
                <c:pt idx="13">
                  <c:v>16</c:v>
                </c:pt>
                <c:pt idx="14">
                  <c:v>24</c:v>
                </c:pt>
                <c:pt idx="15">
                  <c:v>24</c:v>
                </c:pt>
                <c:pt idx="16">
                  <c:v>24</c:v>
                </c:pt>
                <c:pt idx="17">
                  <c:v>36</c:v>
                </c:pt>
                <c:pt idx="18">
                  <c:v>36</c:v>
                </c:pt>
                <c:pt idx="19">
                  <c:v>36</c:v>
                </c:pt>
              </c:numCache>
            </c:numRef>
          </c:xVal>
          <c:yVal>
            <c:numRef>
              <c:f>'Mosher TotalsMetabolites 0.2 28'!$D$4:$D$23</c:f>
              <c:numCache>
                <c:formatCode>General</c:formatCode>
                <c:ptCount val="20"/>
                <c:pt idx="0">
                  <c:v>0</c:v>
                </c:pt>
                <c:pt idx="1">
                  <c:v>0</c:v>
                </c:pt>
                <c:pt idx="2" formatCode="0.0000">
                  <c:v>0.37810562856434415</c:v>
                </c:pt>
                <c:pt idx="3" formatCode="0.0000">
                  <c:v>0.21759925062677354</c:v>
                </c:pt>
                <c:pt idx="4" formatCode="0.0000">
                  <c:v>0.1939003223406893</c:v>
                </c:pt>
                <c:pt idx="5" formatCode="0.0000">
                  <c:v>0.2822326914070033</c:v>
                </c:pt>
                <c:pt idx="6" formatCode="0.0000">
                  <c:v>0.34394223843765126</c:v>
                </c:pt>
                <c:pt idx="7" formatCode="0.0000">
                  <c:v>0.42873515717552413</c:v>
                </c:pt>
                <c:pt idx="8" formatCode="0.0000">
                  <c:v>0.26176543515993056</c:v>
                </c:pt>
                <c:pt idx="9" formatCode="0.0000">
                  <c:v>0.48798247789073479</c:v>
                </c:pt>
                <c:pt idx="10" formatCode="0.0000">
                  <c:v>0.47480719957784179</c:v>
                </c:pt>
                <c:pt idx="11" formatCode="0.0000">
                  <c:v>0.61401768741218288</c:v>
                </c:pt>
                <c:pt idx="12" formatCode="0.0000">
                  <c:v>0.71958564068655817</c:v>
                </c:pt>
                <c:pt idx="13" formatCode="0.0000">
                  <c:v>0.51302793619307374</c:v>
                </c:pt>
                <c:pt idx="14" formatCode="0.0000">
                  <c:v>1.1084635093809405</c:v>
                </c:pt>
                <c:pt idx="15" formatCode="0.0000">
                  <c:v>0.67757390417940877</c:v>
                </c:pt>
                <c:pt idx="16" formatCode="0.0000">
                  <c:v>0.87793757059812105</c:v>
                </c:pt>
                <c:pt idx="17" formatCode="0.0000">
                  <c:v>0.88009201862412878</c:v>
                </c:pt>
                <c:pt idx="18" formatCode="0.0000">
                  <c:v>0.85408475316732202</c:v>
                </c:pt>
                <c:pt idx="19" formatCode="0.0000">
                  <c:v>1.0772240130038295</c:v>
                </c:pt>
              </c:numCache>
            </c:numRef>
          </c:yVal>
          <c:smooth val="0"/>
          <c:extLst>
            <c:ext xmlns:c16="http://schemas.microsoft.com/office/drawing/2014/chart" uri="{C3380CC4-5D6E-409C-BE32-E72D297353CC}">
              <c16:uniqueId val="{00000000-CCB2-9946-828F-05E87EAF7792}"/>
            </c:ext>
          </c:extLst>
        </c:ser>
        <c:dLbls>
          <c:showLegendKey val="0"/>
          <c:showVal val="0"/>
          <c:showCatName val="0"/>
          <c:showSerName val="0"/>
          <c:showPercent val="0"/>
          <c:showBubbleSize val="0"/>
        </c:dLbls>
        <c:axId val="-2139448296"/>
        <c:axId val="-2138689480"/>
      </c:scatterChart>
      <c:valAx>
        <c:axId val="-2139448296"/>
        <c:scaling>
          <c:orientation val="minMax"/>
        </c:scaling>
        <c:delete val="0"/>
        <c:axPos val="b"/>
        <c:numFmt formatCode="General" sourceLinked="1"/>
        <c:majorTickMark val="out"/>
        <c:minorTickMark val="none"/>
        <c:tickLblPos val="nextTo"/>
        <c:crossAx val="-2138689480"/>
        <c:crosses val="autoZero"/>
        <c:crossBetween val="midCat"/>
      </c:valAx>
      <c:valAx>
        <c:axId val="-2138689480"/>
        <c:scaling>
          <c:orientation val="minMax"/>
        </c:scaling>
        <c:delete val="0"/>
        <c:axPos val="l"/>
        <c:majorGridlines/>
        <c:numFmt formatCode="General" sourceLinked="1"/>
        <c:majorTickMark val="out"/>
        <c:minorTickMark val="none"/>
        <c:tickLblPos val="nextTo"/>
        <c:crossAx val="-21394482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7722353455817997"/>
                  <c:y val="-0.13777121609798801"/>
                </c:manualLayout>
              </c:layout>
              <c:numFmt formatCode="General" sourceLinked="0"/>
            </c:trendlineLbl>
          </c:trendline>
          <c:xVal>
            <c:numRef>
              <c:f>'Mosher  Water Samples 0.2 28'!$I$11:$I$28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0.2 28'!$H$11:$H$28</c:f>
              <c:numCache>
                <c:formatCode>0.000</c:formatCode>
                <c:ptCount val="18"/>
                <c:pt idx="0">
                  <c:v>0.52514670633936689</c:v>
                </c:pt>
                <c:pt idx="1">
                  <c:v>0.36356310438879241</c:v>
                </c:pt>
                <c:pt idx="2">
                  <c:v>0.42819654516902222</c:v>
                </c:pt>
                <c:pt idx="3">
                  <c:v>0.34740474419373502</c:v>
                </c:pt>
                <c:pt idx="4">
                  <c:v>0.4039590048764361</c:v>
                </c:pt>
                <c:pt idx="5">
                  <c:v>0.37972146458384992</c:v>
                </c:pt>
                <c:pt idx="6">
                  <c:v>0.39587982477890743</c:v>
                </c:pt>
                <c:pt idx="7">
                  <c:v>0.37164228448632119</c:v>
                </c:pt>
                <c:pt idx="8">
                  <c:v>0.33932556409620629</c:v>
                </c:pt>
                <c:pt idx="9">
                  <c:v>0.38780064468137865</c:v>
                </c:pt>
                <c:pt idx="10">
                  <c:v>0.37972146458384992</c:v>
                </c:pt>
                <c:pt idx="11">
                  <c:v>0.41203818497396477</c:v>
                </c:pt>
                <c:pt idx="12">
                  <c:v>0.35548392429126374</c:v>
                </c:pt>
                <c:pt idx="13">
                  <c:v>0.24237540292586165</c:v>
                </c:pt>
                <c:pt idx="14">
                  <c:v>0.35548392429126374</c:v>
                </c:pt>
                <c:pt idx="15">
                  <c:v>0.32316720390114884</c:v>
                </c:pt>
                <c:pt idx="16">
                  <c:v>0.33124638399867762</c:v>
                </c:pt>
                <c:pt idx="17">
                  <c:v>0.36356310438879241</c:v>
                </c:pt>
              </c:numCache>
            </c:numRef>
          </c:yVal>
          <c:smooth val="0"/>
          <c:extLst>
            <c:ext xmlns:c16="http://schemas.microsoft.com/office/drawing/2014/chart" uri="{C3380CC4-5D6E-409C-BE32-E72D297353CC}">
              <c16:uniqueId val="{00000001-5DF1-D84E-B721-BF7C6B14BEA1}"/>
            </c:ext>
          </c:extLst>
        </c:ser>
        <c:dLbls>
          <c:showLegendKey val="0"/>
          <c:showVal val="0"/>
          <c:showCatName val="0"/>
          <c:showSerName val="0"/>
          <c:showPercent val="0"/>
          <c:showBubbleSize val="0"/>
        </c:dLbls>
        <c:axId val="-2140126632"/>
        <c:axId val="-2140121192"/>
      </c:scatterChart>
      <c:valAx>
        <c:axId val="-2140126632"/>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40121192"/>
        <c:crosses val="autoZero"/>
        <c:crossBetween val="midCat"/>
      </c:valAx>
      <c:valAx>
        <c:axId val="-2140121192"/>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40126632"/>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7722353455817997"/>
                  <c:y val="-0.13777121609798801"/>
                </c:manualLayout>
              </c:layout>
              <c:numFmt formatCode="General" sourceLinked="0"/>
            </c:trendlineLbl>
          </c:trendline>
          <c:xVal>
            <c:numRef>
              <c:f>'Mosher  Water Samples 0.2 28'!$I$11:$I$28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0.2 28'!$E$11:$E$28</c:f>
              <c:numCache>
                <c:formatCode>0</c:formatCode>
                <c:ptCount val="18"/>
                <c:pt idx="0">
                  <c:v>525.14670633936692</c:v>
                </c:pt>
                <c:pt idx="1">
                  <c:v>363.5631043887924</c:v>
                </c:pt>
                <c:pt idx="2">
                  <c:v>428.19654516902222</c:v>
                </c:pt>
                <c:pt idx="3">
                  <c:v>347.40474419373504</c:v>
                </c:pt>
                <c:pt idx="4">
                  <c:v>403.9590048764361</c:v>
                </c:pt>
                <c:pt idx="5">
                  <c:v>379.72146458384992</c:v>
                </c:pt>
                <c:pt idx="6">
                  <c:v>395.87982477890745</c:v>
                </c:pt>
                <c:pt idx="7">
                  <c:v>371.64228448632122</c:v>
                </c:pt>
                <c:pt idx="8">
                  <c:v>339.32556409620628</c:v>
                </c:pt>
                <c:pt idx="9">
                  <c:v>387.80064468137863</c:v>
                </c:pt>
                <c:pt idx="10">
                  <c:v>379.72146458384992</c:v>
                </c:pt>
                <c:pt idx="11">
                  <c:v>412.03818497396475</c:v>
                </c:pt>
                <c:pt idx="12">
                  <c:v>355.48392429126375</c:v>
                </c:pt>
                <c:pt idx="13">
                  <c:v>242.37540292586166</c:v>
                </c:pt>
                <c:pt idx="14">
                  <c:v>355.48392429126375</c:v>
                </c:pt>
                <c:pt idx="15">
                  <c:v>323.16720390114881</c:v>
                </c:pt>
                <c:pt idx="16">
                  <c:v>331.24638399867763</c:v>
                </c:pt>
                <c:pt idx="17">
                  <c:v>363.5631043887924</c:v>
                </c:pt>
              </c:numCache>
            </c:numRef>
          </c:yVal>
          <c:smooth val="0"/>
          <c:extLst>
            <c:ext xmlns:c16="http://schemas.microsoft.com/office/drawing/2014/chart" uri="{C3380CC4-5D6E-409C-BE32-E72D297353CC}">
              <c16:uniqueId val="{00000001-53E3-744C-B64C-F12D365BC760}"/>
            </c:ext>
          </c:extLst>
        </c:ser>
        <c:dLbls>
          <c:showLegendKey val="0"/>
          <c:showVal val="0"/>
          <c:showCatName val="0"/>
          <c:showSerName val="0"/>
          <c:showPercent val="0"/>
          <c:showBubbleSize val="0"/>
        </c:dLbls>
        <c:axId val="-2140089576"/>
        <c:axId val="-2140084088"/>
      </c:scatterChart>
      <c:valAx>
        <c:axId val="-2140089576"/>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40084088"/>
        <c:crosses val="autoZero"/>
        <c:crossBetween val="midCat"/>
      </c:valAx>
      <c:valAx>
        <c:axId val="-2140084088"/>
        <c:scaling>
          <c:orientation val="minMax"/>
        </c:scaling>
        <c:delete val="0"/>
        <c:axPos val="l"/>
        <c:majorGridlines/>
        <c:title>
          <c:tx>
            <c:rich>
              <a:bodyPr rot="-5400000" vert="horz"/>
              <a:lstStyle/>
              <a:p>
                <a:pPr>
                  <a:defRPr/>
                </a:pPr>
                <a:r>
                  <a:rPr lang="en-US"/>
                  <a:t>ng/L</a:t>
                </a:r>
              </a:p>
            </c:rich>
          </c:tx>
          <c:overlay val="0"/>
        </c:title>
        <c:numFmt formatCode="0" sourceLinked="1"/>
        <c:majorTickMark val="out"/>
        <c:minorTickMark val="none"/>
        <c:tickLblPos val="nextTo"/>
        <c:crossAx val="-2140089576"/>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xVal>
            <c:numRef>
              <c:f>'Mosher TotalsMetabolites 1.0 28'!$G$6:$G$23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TotalsMetabolites 1.0 28'!$C$6:$C$23</c:f>
              <c:numCache>
                <c:formatCode>0</c:formatCode>
                <c:ptCount val="18"/>
                <c:pt idx="0">
                  <c:v>2203.4127538714683</c:v>
                </c:pt>
                <c:pt idx="1">
                  <c:v>3326.7212166294594</c:v>
                </c:pt>
                <c:pt idx="2">
                  <c:v>2115.2762437166125</c:v>
                </c:pt>
                <c:pt idx="3">
                  <c:v>2060.404659793036</c:v>
                </c:pt>
                <c:pt idx="4">
                  <c:v>2620.274626225525</c:v>
                </c:pt>
                <c:pt idx="5">
                  <c:v>2782.2975247110794</c:v>
                </c:pt>
                <c:pt idx="6">
                  <c:v>3862.0256510164718</c:v>
                </c:pt>
                <c:pt idx="7">
                  <c:v>5009.0916604678378</c:v>
                </c:pt>
                <c:pt idx="8">
                  <c:v>5057.8535758493508</c:v>
                </c:pt>
                <c:pt idx="9">
                  <c:v>6422.4368370228394</c:v>
                </c:pt>
                <c:pt idx="10">
                  <c:v>7421.701993040213</c:v>
                </c:pt>
                <c:pt idx="11">
                  <c:v>5607.9014794610803</c:v>
                </c:pt>
                <c:pt idx="12">
                  <c:v>6070.6061566152857</c:v>
                </c:pt>
                <c:pt idx="13">
                  <c:v>7302.5767393166607</c:v>
                </c:pt>
                <c:pt idx="14">
                  <c:v>7424.9152061950772</c:v>
                </c:pt>
                <c:pt idx="15">
                  <c:v>8391.9225529168962</c:v>
                </c:pt>
                <c:pt idx="16">
                  <c:v>12326.796939223426</c:v>
                </c:pt>
                <c:pt idx="17">
                  <c:v>13981.734027605527</c:v>
                </c:pt>
              </c:numCache>
            </c:numRef>
          </c:yVal>
          <c:smooth val="0"/>
          <c:extLst>
            <c:ext xmlns:c16="http://schemas.microsoft.com/office/drawing/2014/chart" uri="{C3380CC4-5D6E-409C-BE32-E72D297353CC}">
              <c16:uniqueId val="{00000000-96B1-4E43-9889-7F4DBC055FF4}"/>
            </c:ext>
          </c:extLst>
        </c:ser>
        <c:dLbls>
          <c:showLegendKey val="0"/>
          <c:showVal val="0"/>
          <c:showCatName val="0"/>
          <c:showSerName val="0"/>
          <c:showPercent val="0"/>
          <c:showBubbleSize val="0"/>
        </c:dLbls>
        <c:axId val="-2140454280"/>
        <c:axId val="-2140352072"/>
      </c:scatterChart>
      <c:valAx>
        <c:axId val="-2140454280"/>
        <c:scaling>
          <c:orientation val="minMax"/>
        </c:scaling>
        <c:delete val="0"/>
        <c:axPos val="b"/>
        <c:numFmt formatCode="General" sourceLinked="1"/>
        <c:majorTickMark val="out"/>
        <c:minorTickMark val="none"/>
        <c:tickLblPos val="nextTo"/>
        <c:crossAx val="-2140352072"/>
        <c:crosses val="autoZero"/>
        <c:crossBetween val="midCat"/>
      </c:valAx>
      <c:valAx>
        <c:axId val="-2140352072"/>
        <c:scaling>
          <c:orientation val="minMax"/>
        </c:scaling>
        <c:delete val="0"/>
        <c:axPos val="l"/>
        <c:majorGridlines/>
        <c:numFmt formatCode="0" sourceLinked="1"/>
        <c:majorTickMark val="out"/>
        <c:minorTickMark val="none"/>
        <c:tickLblPos val="nextTo"/>
        <c:crossAx val="-2140454280"/>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1.0 28'!$I$11:$I$28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1.0 28'!$E$11:$E$28</c:f>
              <c:numCache>
                <c:formatCode>0</c:formatCode>
                <c:ptCount val="18"/>
                <c:pt idx="0">
                  <c:v>597.85932721712527</c:v>
                </c:pt>
                <c:pt idx="1">
                  <c:v>444.35490536407968</c:v>
                </c:pt>
                <c:pt idx="2">
                  <c:v>436.27572526655098</c:v>
                </c:pt>
                <c:pt idx="3">
                  <c:v>387.80064468137863</c:v>
                </c:pt>
                <c:pt idx="4">
                  <c:v>363.5631043887924</c:v>
                </c:pt>
                <c:pt idx="5">
                  <c:v>355.48392429126375</c:v>
                </c:pt>
                <c:pt idx="6">
                  <c:v>347.40474419373504</c:v>
                </c:pt>
                <c:pt idx="7">
                  <c:v>395.87982477890745</c:v>
                </c:pt>
                <c:pt idx="8">
                  <c:v>395.87982477890745</c:v>
                </c:pt>
                <c:pt idx="9">
                  <c:v>282.77130341350522</c:v>
                </c:pt>
                <c:pt idx="10">
                  <c:v>331.24638399867763</c:v>
                </c:pt>
                <c:pt idx="11">
                  <c:v>290.85048351103393</c:v>
                </c:pt>
                <c:pt idx="12">
                  <c:v>323.16720390114881</c:v>
                </c:pt>
                <c:pt idx="13">
                  <c:v>307.0088437060914</c:v>
                </c:pt>
                <c:pt idx="14">
                  <c:v>331.24638399867763</c:v>
                </c:pt>
                <c:pt idx="15">
                  <c:v>347.40474419373504</c:v>
                </c:pt>
                <c:pt idx="16">
                  <c:v>347.40474419373504</c:v>
                </c:pt>
                <c:pt idx="17">
                  <c:v>468.59244565666586</c:v>
                </c:pt>
              </c:numCache>
            </c:numRef>
          </c:yVal>
          <c:smooth val="0"/>
          <c:extLst>
            <c:ext xmlns:c16="http://schemas.microsoft.com/office/drawing/2014/chart" uri="{C3380CC4-5D6E-409C-BE32-E72D297353CC}">
              <c16:uniqueId val="{00000001-049B-394B-8633-68024BF9FE2A}"/>
            </c:ext>
          </c:extLst>
        </c:ser>
        <c:dLbls>
          <c:showLegendKey val="0"/>
          <c:showVal val="0"/>
          <c:showCatName val="0"/>
          <c:showSerName val="0"/>
          <c:showPercent val="0"/>
          <c:showBubbleSize val="0"/>
        </c:dLbls>
        <c:axId val="2138755640"/>
        <c:axId val="2105227640"/>
      </c:scatterChart>
      <c:valAx>
        <c:axId val="2138755640"/>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05227640"/>
        <c:crosses val="autoZero"/>
        <c:crossBetween val="midCat"/>
      </c:valAx>
      <c:valAx>
        <c:axId val="2105227640"/>
        <c:scaling>
          <c:orientation val="minMax"/>
        </c:scaling>
        <c:delete val="0"/>
        <c:axPos val="l"/>
        <c:majorGridlines/>
        <c:title>
          <c:tx>
            <c:rich>
              <a:bodyPr rot="-5400000" vert="horz"/>
              <a:lstStyle/>
              <a:p>
                <a:pPr>
                  <a:defRPr/>
                </a:pPr>
                <a:r>
                  <a:rPr lang="en-US"/>
                  <a:t>ng/mL</a:t>
                </a:r>
              </a:p>
            </c:rich>
          </c:tx>
          <c:overlay val="0"/>
        </c:title>
        <c:numFmt formatCode="0" sourceLinked="1"/>
        <c:majorTickMark val="out"/>
        <c:minorTickMark val="none"/>
        <c:tickLblPos val="nextTo"/>
        <c:crossAx val="2138755640"/>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1.0 28'!$I$11:$I$28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1.0 28'!$H$11:$H$28</c:f>
              <c:numCache>
                <c:formatCode>0.000</c:formatCode>
                <c:ptCount val="18"/>
                <c:pt idx="0">
                  <c:v>0.59785932721712531</c:v>
                </c:pt>
                <c:pt idx="1">
                  <c:v>0.44435490536407968</c:v>
                </c:pt>
                <c:pt idx="2">
                  <c:v>0.43627572526655095</c:v>
                </c:pt>
                <c:pt idx="3">
                  <c:v>0.38780064468137865</c:v>
                </c:pt>
                <c:pt idx="4">
                  <c:v>0.36356310438879241</c:v>
                </c:pt>
                <c:pt idx="5">
                  <c:v>0.35548392429126374</c:v>
                </c:pt>
                <c:pt idx="6">
                  <c:v>0.34740474419373502</c:v>
                </c:pt>
                <c:pt idx="7">
                  <c:v>0.39587982477890743</c:v>
                </c:pt>
                <c:pt idx="8">
                  <c:v>0.39587982477890743</c:v>
                </c:pt>
                <c:pt idx="9">
                  <c:v>0.2827713034135052</c:v>
                </c:pt>
                <c:pt idx="10">
                  <c:v>0.33124638399867762</c:v>
                </c:pt>
                <c:pt idx="11">
                  <c:v>0.29085048351103393</c:v>
                </c:pt>
                <c:pt idx="12">
                  <c:v>0.32316720390114884</c:v>
                </c:pt>
                <c:pt idx="13">
                  <c:v>0.30700884370609138</c:v>
                </c:pt>
                <c:pt idx="14">
                  <c:v>0.33124638399867762</c:v>
                </c:pt>
                <c:pt idx="15">
                  <c:v>0.34740474419373502</c:v>
                </c:pt>
                <c:pt idx="16">
                  <c:v>0.34740474419373502</c:v>
                </c:pt>
                <c:pt idx="17">
                  <c:v>0.46859244565666586</c:v>
                </c:pt>
              </c:numCache>
            </c:numRef>
          </c:yVal>
          <c:smooth val="0"/>
          <c:extLst>
            <c:ext xmlns:c16="http://schemas.microsoft.com/office/drawing/2014/chart" uri="{C3380CC4-5D6E-409C-BE32-E72D297353CC}">
              <c16:uniqueId val="{00000001-A392-1C41-AEE2-382B44B84D02}"/>
            </c:ext>
          </c:extLst>
        </c:ser>
        <c:dLbls>
          <c:showLegendKey val="0"/>
          <c:showVal val="0"/>
          <c:showCatName val="0"/>
          <c:showSerName val="0"/>
          <c:showPercent val="0"/>
          <c:showBubbleSize val="0"/>
        </c:dLbls>
        <c:axId val="-2143629880"/>
        <c:axId val="2116285928"/>
      </c:scatterChart>
      <c:valAx>
        <c:axId val="-2143629880"/>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16285928"/>
        <c:crosses val="autoZero"/>
        <c:crossBetween val="midCat"/>
      </c:valAx>
      <c:valAx>
        <c:axId val="2116285928"/>
        <c:scaling>
          <c:orientation val="minMax"/>
        </c:scaling>
        <c:delete val="0"/>
        <c:axPos val="l"/>
        <c:majorGridlines/>
        <c:title>
          <c:tx>
            <c:rich>
              <a:bodyPr rot="-5400000" vert="horz"/>
              <a:lstStyle/>
              <a:p>
                <a:pPr>
                  <a:defRPr/>
                </a:pPr>
                <a:r>
                  <a:rPr lang="en-US"/>
                  <a:t>ng/L</a:t>
                </a:r>
              </a:p>
            </c:rich>
          </c:tx>
          <c:overlay val="0"/>
        </c:title>
        <c:numFmt formatCode="0.000" sourceLinked="1"/>
        <c:majorTickMark val="out"/>
        <c:minorTickMark val="none"/>
        <c:tickLblPos val="nextTo"/>
        <c:crossAx val="-2143629880"/>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Mosher Slough 6.0 ppt 28</a:t>
            </a:r>
            <a:r>
              <a:rPr lang="en-US" sz="1800" b="0" i="0" baseline="0">
                <a:effectLst/>
              </a:rPr>
              <a:t>°</a:t>
            </a:r>
            <a:r>
              <a:rPr lang="en-US" sz="1800" b="1" i="0" baseline="0">
                <a:effectLst/>
              </a:rPr>
              <a:t>C</a:t>
            </a:r>
            <a:endParaRPr lang="en-US">
              <a:effectLst/>
            </a:endParaRPr>
          </a:p>
        </c:rich>
      </c:tx>
      <c:overlay val="0"/>
    </c:title>
    <c:autoTitleDeleted val="0"/>
    <c:plotArea>
      <c:layout/>
      <c:scatterChart>
        <c:scatterStyle val="lineMarker"/>
        <c:varyColors val="0"/>
        <c:ser>
          <c:idx val="0"/>
          <c:order val="0"/>
          <c:tx>
            <c:v>Total</c:v>
          </c:tx>
          <c:spPr>
            <a:ln w="28575">
              <a:noFill/>
            </a:ln>
          </c:spPr>
          <c:marker>
            <c:symbol val="circle"/>
            <c:size val="5"/>
            <c:spPr>
              <a:solidFill>
                <a:srgbClr val="3366FF"/>
              </a:solidFill>
            </c:spPr>
          </c:marker>
          <c:xVal>
            <c:numRef>
              <c:f>'Mosher TotalsMetabolites 6.0 28'!$L$32:$L$52</c:f>
              <c:numCache>
                <c:formatCode>General</c:formatCode>
                <c:ptCount val="21"/>
                <c:pt idx="0">
                  <c:v>0</c:v>
                </c:pt>
                <c:pt idx="1">
                  <c:v>0</c:v>
                </c:pt>
                <c:pt idx="2">
                  <c:v>0</c:v>
                </c:pt>
                <c:pt idx="3">
                  <c:v>3</c:v>
                </c:pt>
                <c:pt idx="4">
                  <c:v>3</c:v>
                </c:pt>
                <c:pt idx="5">
                  <c:v>3</c:v>
                </c:pt>
                <c:pt idx="6">
                  <c:v>6</c:v>
                </c:pt>
                <c:pt idx="7">
                  <c:v>6</c:v>
                </c:pt>
                <c:pt idx="8">
                  <c:v>6</c:v>
                </c:pt>
                <c:pt idx="9">
                  <c:v>12</c:v>
                </c:pt>
                <c:pt idx="10">
                  <c:v>12</c:v>
                </c:pt>
                <c:pt idx="11">
                  <c:v>12</c:v>
                </c:pt>
                <c:pt idx="12">
                  <c:v>16</c:v>
                </c:pt>
                <c:pt idx="13">
                  <c:v>16</c:v>
                </c:pt>
                <c:pt idx="14">
                  <c:v>16</c:v>
                </c:pt>
                <c:pt idx="15">
                  <c:v>24</c:v>
                </c:pt>
                <c:pt idx="16">
                  <c:v>24</c:v>
                </c:pt>
                <c:pt idx="17">
                  <c:v>24</c:v>
                </c:pt>
                <c:pt idx="18">
                  <c:v>36</c:v>
                </c:pt>
                <c:pt idx="19">
                  <c:v>36</c:v>
                </c:pt>
                <c:pt idx="20">
                  <c:v>36</c:v>
                </c:pt>
              </c:numCache>
            </c:numRef>
          </c:xVal>
          <c:yVal>
            <c:numRef>
              <c:f>'Mosher TotalsMetabolites 6.0 28'!$M$32:$M$52</c:f>
              <c:numCache>
                <c:formatCode>General</c:formatCode>
                <c:ptCount val="21"/>
                <c:pt idx="0">
                  <c:v>0</c:v>
                </c:pt>
                <c:pt idx="1">
                  <c:v>0</c:v>
                </c:pt>
                <c:pt idx="2">
                  <c:v>0</c:v>
                </c:pt>
                <c:pt idx="3">
                  <c:v>1624</c:v>
                </c:pt>
                <c:pt idx="4">
                  <c:v>2299</c:v>
                </c:pt>
                <c:pt idx="5">
                  <c:v>2231</c:v>
                </c:pt>
                <c:pt idx="6">
                  <c:v>3974</c:v>
                </c:pt>
                <c:pt idx="7">
                  <c:v>3467</c:v>
                </c:pt>
                <c:pt idx="8">
                  <c:v>4147</c:v>
                </c:pt>
                <c:pt idx="9">
                  <c:v>4171</c:v>
                </c:pt>
                <c:pt idx="10">
                  <c:v>7572</c:v>
                </c:pt>
                <c:pt idx="11">
                  <c:v>5803</c:v>
                </c:pt>
                <c:pt idx="12">
                  <c:v>6023</c:v>
                </c:pt>
                <c:pt idx="13">
                  <c:v>5339</c:v>
                </c:pt>
                <c:pt idx="14">
                  <c:v>3323</c:v>
                </c:pt>
                <c:pt idx="15">
                  <c:v>8660</c:v>
                </c:pt>
                <c:pt idx="16">
                  <c:v>8385</c:v>
                </c:pt>
                <c:pt idx="17">
                  <c:v>10372</c:v>
                </c:pt>
                <c:pt idx="18">
                  <c:v>11065</c:v>
                </c:pt>
                <c:pt idx="19">
                  <c:v>11737</c:v>
                </c:pt>
                <c:pt idx="20">
                  <c:v>11263</c:v>
                </c:pt>
              </c:numCache>
            </c:numRef>
          </c:yVal>
          <c:smooth val="0"/>
          <c:extLst>
            <c:ext xmlns:c16="http://schemas.microsoft.com/office/drawing/2014/chart" uri="{C3380CC4-5D6E-409C-BE32-E72D297353CC}">
              <c16:uniqueId val="{00000000-E554-DA4A-87B4-9116B2AFEB53}"/>
            </c:ext>
          </c:extLst>
        </c:ser>
        <c:ser>
          <c:idx val="1"/>
          <c:order val="1"/>
          <c:tx>
            <c:v>Parent</c:v>
          </c:tx>
          <c:spPr>
            <a:ln w="28575">
              <a:noFill/>
            </a:ln>
          </c:spPr>
          <c:marker>
            <c:symbol val="square"/>
            <c:size val="5"/>
            <c:spPr>
              <a:solidFill>
                <a:srgbClr val="FF0000"/>
              </a:solidFill>
            </c:spPr>
          </c:marker>
          <c:xVal>
            <c:numRef>
              <c:f>'Mosher TotalsMetabolites 6.0 28'!$L$32:$L$52</c:f>
              <c:numCache>
                <c:formatCode>General</c:formatCode>
                <c:ptCount val="21"/>
                <c:pt idx="0">
                  <c:v>0</c:v>
                </c:pt>
                <c:pt idx="1">
                  <c:v>0</c:v>
                </c:pt>
                <c:pt idx="2">
                  <c:v>0</c:v>
                </c:pt>
                <c:pt idx="3">
                  <c:v>3</c:v>
                </c:pt>
                <c:pt idx="4">
                  <c:v>3</c:v>
                </c:pt>
                <c:pt idx="5">
                  <c:v>3</c:v>
                </c:pt>
                <c:pt idx="6">
                  <c:v>6</c:v>
                </c:pt>
                <c:pt idx="7">
                  <c:v>6</c:v>
                </c:pt>
                <c:pt idx="8">
                  <c:v>6</c:v>
                </c:pt>
                <c:pt idx="9">
                  <c:v>12</c:v>
                </c:pt>
                <c:pt idx="10">
                  <c:v>12</c:v>
                </c:pt>
                <c:pt idx="11">
                  <c:v>12</c:v>
                </c:pt>
                <c:pt idx="12">
                  <c:v>16</c:v>
                </c:pt>
                <c:pt idx="13">
                  <c:v>16</c:v>
                </c:pt>
                <c:pt idx="14">
                  <c:v>16</c:v>
                </c:pt>
                <c:pt idx="15">
                  <c:v>24</c:v>
                </c:pt>
                <c:pt idx="16">
                  <c:v>24</c:v>
                </c:pt>
                <c:pt idx="17">
                  <c:v>24</c:v>
                </c:pt>
                <c:pt idx="18">
                  <c:v>36</c:v>
                </c:pt>
                <c:pt idx="19">
                  <c:v>36</c:v>
                </c:pt>
                <c:pt idx="20">
                  <c:v>36</c:v>
                </c:pt>
              </c:numCache>
            </c:numRef>
          </c:xVal>
          <c:yVal>
            <c:numRef>
              <c:f>'Mosher TotalsMetabolites 6.0 28'!$N$32:$N$52</c:f>
              <c:numCache>
                <c:formatCode>General</c:formatCode>
                <c:ptCount val="21"/>
                <c:pt idx="0">
                  <c:v>0</c:v>
                </c:pt>
                <c:pt idx="1">
                  <c:v>0</c:v>
                </c:pt>
                <c:pt idx="2">
                  <c:v>0</c:v>
                </c:pt>
                <c:pt idx="3" formatCode="0">
                  <c:v>1445.3600000000001</c:v>
                </c:pt>
                <c:pt idx="4" formatCode="0">
                  <c:v>2046.1100000000001</c:v>
                </c:pt>
                <c:pt idx="5" formatCode="0">
                  <c:v>1985.59</c:v>
                </c:pt>
                <c:pt idx="6" formatCode="0">
                  <c:v>3139.46</c:v>
                </c:pt>
                <c:pt idx="7" formatCode="0">
                  <c:v>2738.9300000000003</c:v>
                </c:pt>
                <c:pt idx="8" formatCode="0">
                  <c:v>3276.13</c:v>
                </c:pt>
                <c:pt idx="9" formatCode="0">
                  <c:v>2836.28</c:v>
                </c:pt>
                <c:pt idx="10" formatCode="0">
                  <c:v>5148.96</c:v>
                </c:pt>
                <c:pt idx="11" formatCode="0">
                  <c:v>3946.0400000000004</c:v>
                </c:pt>
                <c:pt idx="12" formatCode="0">
                  <c:v>3794.4900000000002</c:v>
                </c:pt>
                <c:pt idx="13" formatCode="0">
                  <c:v>3363.57</c:v>
                </c:pt>
                <c:pt idx="14" formatCode="0">
                  <c:v>2093.4900000000002</c:v>
                </c:pt>
                <c:pt idx="15" formatCode="0">
                  <c:v>4330</c:v>
                </c:pt>
                <c:pt idx="16" formatCode="0">
                  <c:v>4192.5</c:v>
                </c:pt>
                <c:pt idx="17" formatCode="0">
                  <c:v>5186</c:v>
                </c:pt>
                <c:pt idx="18" formatCode="0">
                  <c:v>4315.3500000000004</c:v>
                </c:pt>
                <c:pt idx="19" formatCode="0">
                  <c:v>4577.43</c:v>
                </c:pt>
                <c:pt idx="20" formatCode="0">
                  <c:v>4392.57</c:v>
                </c:pt>
              </c:numCache>
            </c:numRef>
          </c:yVal>
          <c:smooth val="0"/>
          <c:extLst>
            <c:ext xmlns:c16="http://schemas.microsoft.com/office/drawing/2014/chart" uri="{C3380CC4-5D6E-409C-BE32-E72D297353CC}">
              <c16:uniqueId val="{00000001-E554-DA4A-87B4-9116B2AFEB53}"/>
            </c:ext>
          </c:extLst>
        </c:ser>
        <c:ser>
          <c:idx val="2"/>
          <c:order val="2"/>
          <c:tx>
            <c:v>Metabolite</c:v>
          </c:tx>
          <c:spPr>
            <a:ln w="28575">
              <a:noFill/>
            </a:ln>
          </c:spPr>
          <c:marker>
            <c:symbol val="triangle"/>
            <c:size val="5"/>
            <c:spPr>
              <a:solidFill>
                <a:srgbClr val="008000"/>
              </a:solidFill>
            </c:spPr>
          </c:marker>
          <c:xVal>
            <c:numRef>
              <c:f>'Mosher TotalsMetabolites 6.0 28'!$L$32:$L$52</c:f>
              <c:numCache>
                <c:formatCode>General</c:formatCode>
                <c:ptCount val="21"/>
                <c:pt idx="0">
                  <c:v>0</c:v>
                </c:pt>
                <c:pt idx="1">
                  <c:v>0</c:v>
                </c:pt>
                <c:pt idx="2">
                  <c:v>0</c:v>
                </c:pt>
                <c:pt idx="3">
                  <c:v>3</c:v>
                </c:pt>
                <c:pt idx="4">
                  <c:v>3</c:v>
                </c:pt>
                <c:pt idx="5">
                  <c:v>3</c:v>
                </c:pt>
                <c:pt idx="6">
                  <c:v>6</c:v>
                </c:pt>
                <c:pt idx="7">
                  <c:v>6</c:v>
                </c:pt>
                <c:pt idx="8">
                  <c:v>6</c:v>
                </c:pt>
                <c:pt idx="9">
                  <c:v>12</c:v>
                </c:pt>
                <c:pt idx="10">
                  <c:v>12</c:v>
                </c:pt>
                <c:pt idx="11">
                  <c:v>12</c:v>
                </c:pt>
                <c:pt idx="12">
                  <c:v>16</c:v>
                </c:pt>
                <c:pt idx="13">
                  <c:v>16</c:v>
                </c:pt>
                <c:pt idx="14">
                  <c:v>16</c:v>
                </c:pt>
                <c:pt idx="15">
                  <c:v>24</c:v>
                </c:pt>
                <c:pt idx="16">
                  <c:v>24</c:v>
                </c:pt>
                <c:pt idx="17">
                  <c:v>24</c:v>
                </c:pt>
                <c:pt idx="18">
                  <c:v>36</c:v>
                </c:pt>
                <c:pt idx="19">
                  <c:v>36</c:v>
                </c:pt>
                <c:pt idx="20">
                  <c:v>36</c:v>
                </c:pt>
              </c:numCache>
            </c:numRef>
          </c:xVal>
          <c:yVal>
            <c:numRef>
              <c:f>'Mosher TotalsMetabolites 6.0 28'!$O$32:$O$52</c:f>
              <c:numCache>
                <c:formatCode>General</c:formatCode>
                <c:ptCount val="21"/>
                <c:pt idx="0">
                  <c:v>0</c:v>
                </c:pt>
                <c:pt idx="1">
                  <c:v>0</c:v>
                </c:pt>
                <c:pt idx="2">
                  <c:v>0</c:v>
                </c:pt>
                <c:pt idx="3" formatCode="0">
                  <c:v>178.63999999999987</c:v>
                </c:pt>
                <c:pt idx="4" formatCode="0">
                  <c:v>252.88999999999987</c:v>
                </c:pt>
                <c:pt idx="5" formatCode="0">
                  <c:v>245.41000000000008</c:v>
                </c:pt>
                <c:pt idx="6" formatCode="0">
                  <c:v>834.54</c:v>
                </c:pt>
                <c:pt idx="7" formatCode="0">
                  <c:v>728.06999999999971</c:v>
                </c:pt>
                <c:pt idx="8" formatCode="0">
                  <c:v>870.86999999999989</c:v>
                </c:pt>
                <c:pt idx="9" formatCode="0">
                  <c:v>1334.7199999999998</c:v>
                </c:pt>
                <c:pt idx="10" formatCode="0">
                  <c:v>2423.04</c:v>
                </c:pt>
                <c:pt idx="11" formatCode="0">
                  <c:v>1856.9599999999996</c:v>
                </c:pt>
                <c:pt idx="12" formatCode="0">
                  <c:v>2228.5099999999998</c:v>
                </c:pt>
                <c:pt idx="13" formatCode="0">
                  <c:v>1975.4299999999998</c:v>
                </c:pt>
                <c:pt idx="14" formatCode="0">
                  <c:v>1229.5099999999998</c:v>
                </c:pt>
                <c:pt idx="15" formatCode="0">
                  <c:v>4330</c:v>
                </c:pt>
                <c:pt idx="16" formatCode="0">
                  <c:v>4192.5</c:v>
                </c:pt>
                <c:pt idx="17" formatCode="0">
                  <c:v>5186</c:v>
                </c:pt>
                <c:pt idx="18" formatCode="0">
                  <c:v>6749.65</c:v>
                </c:pt>
                <c:pt idx="19" formatCode="0">
                  <c:v>7159.57</c:v>
                </c:pt>
                <c:pt idx="20" formatCode="0">
                  <c:v>6870.43</c:v>
                </c:pt>
              </c:numCache>
            </c:numRef>
          </c:yVal>
          <c:smooth val="0"/>
          <c:extLst>
            <c:ext xmlns:c16="http://schemas.microsoft.com/office/drawing/2014/chart" uri="{C3380CC4-5D6E-409C-BE32-E72D297353CC}">
              <c16:uniqueId val="{00000002-E554-DA4A-87B4-9116B2AFEB53}"/>
            </c:ext>
          </c:extLst>
        </c:ser>
        <c:ser>
          <c:idx val="3"/>
          <c:order val="3"/>
          <c:tx>
            <c:v>0-3</c:v>
          </c:tx>
          <c:spPr>
            <a:ln w="28575">
              <a:noFill/>
            </a:ln>
          </c:spPr>
          <c:marker>
            <c:symbol val="none"/>
          </c:marker>
          <c:trendline>
            <c:spPr>
              <a:ln>
                <a:solidFill>
                  <a:srgbClr val="3366FF"/>
                </a:solidFill>
              </a:ln>
            </c:spPr>
            <c:trendlineType val="linear"/>
            <c:dispRSqr val="0"/>
            <c:dispEq val="0"/>
          </c:trendline>
          <c:xVal>
            <c:numRef>
              <c:f>'Mosher TotalsMetabolites 6.0 28'!$I$15:$I$16</c:f>
              <c:numCache>
                <c:formatCode>General</c:formatCode>
                <c:ptCount val="2"/>
                <c:pt idx="0">
                  <c:v>0</c:v>
                </c:pt>
                <c:pt idx="1">
                  <c:v>3</c:v>
                </c:pt>
              </c:numCache>
            </c:numRef>
          </c:xVal>
          <c:yVal>
            <c:numRef>
              <c:f>'Mosher TotalsMetabolites 6.0 28'!$J$15:$J$16</c:f>
              <c:numCache>
                <c:formatCode>General</c:formatCode>
                <c:ptCount val="2"/>
                <c:pt idx="0">
                  <c:v>0</c:v>
                </c:pt>
                <c:pt idx="1">
                  <c:v>2052</c:v>
                </c:pt>
              </c:numCache>
            </c:numRef>
          </c:yVal>
          <c:smooth val="0"/>
          <c:extLst>
            <c:ext xmlns:c16="http://schemas.microsoft.com/office/drawing/2014/chart" uri="{C3380CC4-5D6E-409C-BE32-E72D297353CC}">
              <c16:uniqueId val="{00000004-E554-DA4A-87B4-9116B2AFEB53}"/>
            </c:ext>
          </c:extLst>
        </c:ser>
        <c:ser>
          <c:idx val="4"/>
          <c:order val="4"/>
          <c:tx>
            <c:v>6-Mar</c:v>
          </c:tx>
          <c:spPr>
            <a:ln w="28575">
              <a:noFill/>
            </a:ln>
          </c:spPr>
          <c:marker>
            <c:symbol val="none"/>
          </c:marker>
          <c:trendline>
            <c:spPr>
              <a:ln>
                <a:solidFill>
                  <a:srgbClr val="3366FF"/>
                </a:solidFill>
              </a:ln>
            </c:spPr>
            <c:trendlineType val="linear"/>
            <c:dispRSqr val="0"/>
            <c:dispEq val="0"/>
          </c:trendline>
          <c:xVal>
            <c:numRef>
              <c:f>'Mosher TotalsMetabolites 6.0 28'!$I$16:$I$17</c:f>
              <c:numCache>
                <c:formatCode>General</c:formatCode>
                <c:ptCount val="2"/>
                <c:pt idx="0">
                  <c:v>3</c:v>
                </c:pt>
                <c:pt idx="1">
                  <c:v>6</c:v>
                </c:pt>
              </c:numCache>
            </c:numRef>
          </c:xVal>
          <c:yVal>
            <c:numRef>
              <c:f>'Mosher TotalsMetabolites 6.0 28'!$J$16:$J$17</c:f>
              <c:numCache>
                <c:formatCode>General</c:formatCode>
                <c:ptCount val="2"/>
                <c:pt idx="0">
                  <c:v>2052</c:v>
                </c:pt>
                <c:pt idx="1">
                  <c:v>3863</c:v>
                </c:pt>
              </c:numCache>
            </c:numRef>
          </c:yVal>
          <c:smooth val="0"/>
          <c:extLst>
            <c:ext xmlns:c16="http://schemas.microsoft.com/office/drawing/2014/chart" uri="{C3380CC4-5D6E-409C-BE32-E72D297353CC}">
              <c16:uniqueId val="{00000006-E554-DA4A-87B4-9116B2AFEB53}"/>
            </c:ext>
          </c:extLst>
        </c:ser>
        <c:ser>
          <c:idx val="5"/>
          <c:order val="5"/>
          <c:tx>
            <c:v>12-Jun</c:v>
          </c:tx>
          <c:spPr>
            <a:ln w="28575">
              <a:noFill/>
            </a:ln>
          </c:spPr>
          <c:marker>
            <c:symbol val="none"/>
          </c:marker>
          <c:trendline>
            <c:spPr>
              <a:ln>
                <a:solidFill>
                  <a:srgbClr val="3366FF"/>
                </a:solidFill>
              </a:ln>
            </c:spPr>
            <c:trendlineType val="linear"/>
            <c:dispRSqr val="0"/>
            <c:dispEq val="0"/>
          </c:trendline>
          <c:xVal>
            <c:numRef>
              <c:f>'Mosher TotalsMetabolites 6.0 28'!$I$17:$I$18</c:f>
              <c:numCache>
                <c:formatCode>General</c:formatCode>
                <c:ptCount val="2"/>
                <c:pt idx="0">
                  <c:v>6</c:v>
                </c:pt>
                <c:pt idx="1">
                  <c:v>12</c:v>
                </c:pt>
              </c:numCache>
            </c:numRef>
          </c:xVal>
          <c:yVal>
            <c:numRef>
              <c:f>'Mosher TotalsMetabolites 6.0 28'!$J$17:$J$18</c:f>
              <c:numCache>
                <c:formatCode>General</c:formatCode>
                <c:ptCount val="2"/>
                <c:pt idx="0">
                  <c:v>3863</c:v>
                </c:pt>
                <c:pt idx="1">
                  <c:v>5849</c:v>
                </c:pt>
              </c:numCache>
            </c:numRef>
          </c:yVal>
          <c:smooth val="0"/>
          <c:extLst>
            <c:ext xmlns:c16="http://schemas.microsoft.com/office/drawing/2014/chart" uri="{C3380CC4-5D6E-409C-BE32-E72D297353CC}">
              <c16:uniqueId val="{00000008-E554-DA4A-87B4-9116B2AFEB53}"/>
            </c:ext>
          </c:extLst>
        </c:ser>
        <c:ser>
          <c:idx val="6"/>
          <c:order val="6"/>
          <c:tx>
            <c:v>16-Dec</c:v>
          </c:tx>
          <c:spPr>
            <a:ln w="28575">
              <a:noFill/>
            </a:ln>
          </c:spPr>
          <c:marker>
            <c:symbol val="none"/>
          </c:marker>
          <c:trendline>
            <c:spPr>
              <a:ln>
                <a:solidFill>
                  <a:srgbClr val="3366FF"/>
                </a:solidFill>
              </a:ln>
            </c:spPr>
            <c:trendlineType val="linear"/>
            <c:dispRSqr val="0"/>
            <c:dispEq val="0"/>
          </c:trendline>
          <c:xVal>
            <c:numRef>
              <c:f>'Mosher TotalsMetabolites 6.0 28'!$I$18:$I$19</c:f>
              <c:numCache>
                <c:formatCode>General</c:formatCode>
                <c:ptCount val="2"/>
                <c:pt idx="0">
                  <c:v>12</c:v>
                </c:pt>
                <c:pt idx="1">
                  <c:v>16</c:v>
                </c:pt>
              </c:numCache>
            </c:numRef>
          </c:xVal>
          <c:yVal>
            <c:numRef>
              <c:f>'Mosher TotalsMetabolites 6.0 28'!$J$18:$J$19</c:f>
              <c:numCache>
                <c:formatCode>General</c:formatCode>
                <c:ptCount val="2"/>
                <c:pt idx="0">
                  <c:v>5849</c:v>
                </c:pt>
                <c:pt idx="1">
                  <c:v>4895</c:v>
                </c:pt>
              </c:numCache>
            </c:numRef>
          </c:yVal>
          <c:smooth val="0"/>
          <c:extLst>
            <c:ext xmlns:c16="http://schemas.microsoft.com/office/drawing/2014/chart" uri="{C3380CC4-5D6E-409C-BE32-E72D297353CC}">
              <c16:uniqueId val="{0000000A-E554-DA4A-87B4-9116B2AFEB53}"/>
            </c:ext>
          </c:extLst>
        </c:ser>
        <c:ser>
          <c:idx val="7"/>
          <c:order val="7"/>
          <c:tx>
            <c:v>16-24</c:v>
          </c:tx>
          <c:spPr>
            <a:ln w="28575">
              <a:noFill/>
            </a:ln>
          </c:spPr>
          <c:marker>
            <c:symbol val="none"/>
          </c:marker>
          <c:trendline>
            <c:spPr>
              <a:ln>
                <a:solidFill>
                  <a:srgbClr val="3366FF"/>
                </a:solidFill>
              </a:ln>
            </c:spPr>
            <c:trendlineType val="linear"/>
            <c:dispRSqr val="0"/>
            <c:dispEq val="0"/>
          </c:trendline>
          <c:xVal>
            <c:numRef>
              <c:f>'Mosher TotalsMetabolites 6.0 28'!$I$19:$I$20</c:f>
              <c:numCache>
                <c:formatCode>General</c:formatCode>
                <c:ptCount val="2"/>
                <c:pt idx="0">
                  <c:v>16</c:v>
                </c:pt>
                <c:pt idx="1">
                  <c:v>24</c:v>
                </c:pt>
              </c:numCache>
            </c:numRef>
          </c:xVal>
          <c:yVal>
            <c:numRef>
              <c:f>'Mosher TotalsMetabolites 6.0 28'!$J$19:$J$20</c:f>
              <c:numCache>
                <c:formatCode>General</c:formatCode>
                <c:ptCount val="2"/>
                <c:pt idx="0">
                  <c:v>4895</c:v>
                </c:pt>
                <c:pt idx="1">
                  <c:v>9139</c:v>
                </c:pt>
              </c:numCache>
            </c:numRef>
          </c:yVal>
          <c:smooth val="0"/>
          <c:extLst>
            <c:ext xmlns:c16="http://schemas.microsoft.com/office/drawing/2014/chart" uri="{C3380CC4-5D6E-409C-BE32-E72D297353CC}">
              <c16:uniqueId val="{0000000C-E554-DA4A-87B4-9116B2AFEB53}"/>
            </c:ext>
          </c:extLst>
        </c:ser>
        <c:ser>
          <c:idx val="8"/>
          <c:order val="8"/>
          <c:tx>
            <c:v>24-36</c:v>
          </c:tx>
          <c:spPr>
            <a:ln w="28575">
              <a:noFill/>
            </a:ln>
          </c:spPr>
          <c:marker>
            <c:symbol val="none"/>
          </c:marker>
          <c:trendline>
            <c:spPr>
              <a:ln>
                <a:solidFill>
                  <a:srgbClr val="3366FF"/>
                </a:solidFill>
              </a:ln>
            </c:spPr>
            <c:trendlineType val="linear"/>
            <c:dispRSqr val="0"/>
            <c:dispEq val="0"/>
          </c:trendline>
          <c:xVal>
            <c:numRef>
              <c:f>'Mosher TotalsMetabolites 6.0 28'!$I$20:$I$21</c:f>
              <c:numCache>
                <c:formatCode>General</c:formatCode>
                <c:ptCount val="2"/>
                <c:pt idx="0">
                  <c:v>24</c:v>
                </c:pt>
                <c:pt idx="1">
                  <c:v>36</c:v>
                </c:pt>
              </c:numCache>
            </c:numRef>
          </c:xVal>
          <c:yVal>
            <c:numRef>
              <c:f>'Mosher TotalsMetabolites 6.0 28'!$J$20:$J$21</c:f>
              <c:numCache>
                <c:formatCode>General</c:formatCode>
                <c:ptCount val="2"/>
                <c:pt idx="0">
                  <c:v>9139</c:v>
                </c:pt>
                <c:pt idx="1">
                  <c:v>11355</c:v>
                </c:pt>
              </c:numCache>
            </c:numRef>
          </c:yVal>
          <c:smooth val="0"/>
          <c:extLst>
            <c:ext xmlns:c16="http://schemas.microsoft.com/office/drawing/2014/chart" uri="{C3380CC4-5D6E-409C-BE32-E72D297353CC}">
              <c16:uniqueId val="{0000000E-E554-DA4A-87B4-9116B2AFEB53}"/>
            </c:ext>
          </c:extLst>
        </c:ser>
        <c:ser>
          <c:idx val="9"/>
          <c:order val="9"/>
          <c:tx>
            <c:v>p0-3</c:v>
          </c:tx>
          <c:spPr>
            <a:ln w="28575">
              <a:noFill/>
            </a:ln>
          </c:spPr>
          <c:marker>
            <c:symbol val="none"/>
          </c:marker>
          <c:trendline>
            <c:spPr>
              <a:ln>
                <a:solidFill>
                  <a:srgbClr val="FF0000"/>
                </a:solidFill>
              </a:ln>
            </c:spPr>
            <c:trendlineType val="linear"/>
            <c:dispRSqr val="0"/>
            <c:dispEq val="0"/>
          </c:trendline>
          <c:xVal>
            <c:numRef>
              <c:f>'Mosher TotalsMetabolites 6.0 28'!$Q$32:$Q$33</c:f>
              <c:numCache>
                <c:formatCode>General</c:formatCode>
                <c:ptCount val="2"/>
                <c:pt idx="0">
                  <c:v>0</c:v>
                </c:pt>
                <c:pt idx="1">
                  <c:v>3</c:v>
                </c:pt>
              </c:numCache>
            </c:numRef>
          </c:xVal>
          <c:yVal>
            <c:numRef>
              <c:f>'Mosher TotalsMetabolites 6.0 28'!$R$32:$R$33</c:f>
              <c:numCache>
                <c:formatCode>0</c:formatCode>
                <c:ptCount val="2"/>
                <c:pt idx="0" formatCode="General">
                  <c:v>0</c:v>
                </c:pt>
                <c:pt idx="1">
                  <c:v>1825.6866666666667</c:v>
                </c:pt>
              </c:numCache>
            </c:numRef>
          </c:yVal>
          <c:smooth val="0"/>
          <c:extLst>
            <c:ext xmlns:c16="http://schemas.microsoft.com/office/drawing/2014/chart" uri="{C3380CC4-5D6E-409C-BE32-E72D297353CC}">
              <c16:uniqueId val="{00000010-E554-DA4A-87B4-9116B2AFEB53}"/>
            </c:ext>
          </c:extLst>
        </c:ser>
        <c:ser>
          <c:idx val="10"/>
          <c:order val="10"/>
          <c:tx>
            <c:v>p3-6</c:v>
          </c:tx>
          <c:spPr>
            <a:ln w="28575">
              <a:noFill/>
            </a:ln>
          </c:spPr>
          <c:marker>
            <c:symbol val="none"/>
          </c:marker>
          <c:trendline>
            <c:spPr>
              <a:ln>
                <a:solidFill>
                  <a:srgbClr val="FF0000"/>
                </a:solidFill>
              </a:ln>
            </c:spPr>
            <c:trendlineType val="linear"/>
            <c:dispRSqr val="0"/>
            <c:dispEq val="0"/>
          </c:trendline>
          <c:xVal>
            <c:numRef>
              <c:f>'Mosher TotalsMetabolites 6.0 28'!$Q$33:$Q$34</c:f>
              <c:numCache>
                <c:formatCode>General</c:formatCode>
                <c:ptCount val="2"/>
                <c:pt idx="0">
                  <c:v>3</c:v>
                </c:pt>
                <c:pt idx="1">
                  <c:v>6</c:v>
                </c:pt>
              </c:numCache>
            </c:numRef>
          </c:xVal>
          <c:yVal>
            <c:numRef>
              <c:f>'Mosher TotalsMetabolites 6.0 28'!$R$33:$R$34</c:f>
              <c:numCache>
                <c:formatCode>0</c:formatCode>
                <c:ptCount val="2"/>
                <c:pt idx="0">
                  <c:v>1825.6866666666667</c:v>
                </c:pt>
                <c:pt idx="1">
                  <c:v>3051.5066666666667</c:v>
                </c:pt>
              </c:numCache>
            </c:numRef>
          </c:yVal>
          <c:smooth val="0"/>
          <c:extLst>
            <c:ext xmlns:c16="http://schemas.microsoft.com/office/drawing/2014/chart" uri="{C3380CC4-5D6E-409C-BE32-E72D297353CC}">
              <c16:uniqueId val="{00000012-E554-DA4A-87B4-9116B2AFEB53}"/>
            </c:ext>
          </c:extLst>
        </c:ser>
        <c:ser>
          <c:idx val="11"/>
          <c:order val="11"/>
          <c:tx>
            <c:v>p6-12</c:v>
          </c:tx>
          <c:spPr>
            <a:ln w="28575">
              <a:noFill/>
            </a:ln>
          </c:spPr>
          <c:marker>
            <c:symbol val="none"/>
          </c:marker>
          <c:trendline>
            <c:spPr>
              <a:ln>
                <a:solidFill>
                  <a:srgbClr val="FF0000"/>
                </a:solidFill>
              </a:ln>
            </c:spPr>
            <c:trendlineType val="linear"/>
            <c:dispRSqr val="0"/>
            <c:dispEq val="0"/>
          </c:trendline>
          <c:xVal>
            <c:numRef>
              <c:f>'Mosher TotalsMetabolites 6.0 28'!$Q$34:$Q$35</c:f>
              <c:numCache>
                <c:formatCode>General</c:formatCode>
                <c:ptCount val="2"/>
                <c:pt idx="0">
                  <c:v>6</c:v>
                </c:pt>
                <c:pt idx="1">
                  <c:v>12</c:v>
                </c:pt>
              </c:numCache>
            </c:numRef>
          </c:xVal>
          <c:yVal>
            <c:numRef>
              <c:f>'Mosher TotalsMetabolites 6.0 28'!$R$34:$R$35</c:f>
              <c:numCache>
                <c:formatCode>0</c:formatCode>
                <c:ptCount val="2"/>
                <c:pt idx="0">
                  <c:v>3051.5066666666667</c:v>
                </c:pt>
                <c:pt idx="1">
                  <c:v>3977.0933333333337</c:v>
                </c:pt>
              </c:numCache>
            </c:numRef>
          </c:yVal>
          <c:smooth val="0"/>
          <c:extLst>
            <c:ext xmlns:c16="http://schemas.microsoft.com/office/drawing/2014/chart" uri="{C3380CC4-5D6E-409C-BE32-E72D297353CC}">
              <c16:uniqueId val="{00000014-E554-DA4A-87B4-9116B2AFEB53}"/>
            </c:ext>
          </c:extLst>
        </c:ser>
        <c:ser>
          <c:idx val="12"/>
          <c:order val="12"/>
          <c:tx>
            <c:v>p12-16</c:v>
          </c:tx>
          <c:spPr>
            <a:ln w="28575">
              <a:noFill/>
            </a:ln>
          </c:spPr>
          <c:marker>
            <c:symbol val="none"/>
          </c:marker>
          <c:trendline>
            <c:spPr>
              <a:ln>
                <a:solidFill>
                  <a:srgbClr val="FF0000"/>
                </a:solidFill>
              </a:ln>
            </c:spPr>
            <c:trendlineType val="linear"/>
            <c:dispRSqr val="0"/>
            <c:dispEq val="0"/>
          </c:trendline>
          <c:xVal>
            <c:numRef>
              <c:f>'Mosher TotalsMetabolites 6.0 28'!$Q$35:$Q$36</c:f>
              <c:numCache>
                <c:formatCode>General</c:formatCode>
                <c:ptCount val="2"/>
                <c:pt idx="0">
                  <c:v>12</c:v>
                </c:pt>
                <c:pt idx="1">
                  <c:v>16</c:v>
                </c:pt>
              </c:numCache>
            </c:numRef>
          </c:xVal>
          <c:yVal>
            <c:numRef>
              <c:f>'Mosher TotalsMetabolites 6.0 28'!$R$35:$R$36</c:f>
              <c:numCache>
                <c:formatCode>0</c:formatCode>
                <c:ptCount val="2"/>
                <c:pt idx="0">
                  <c:v>3977.0933333333337</c:v>
                </c:pt>
                <c:pt idx="1">
                  <c:v>3083.8500000000004</c:v>
                </c:pt>
              </c:numCache>
            </c:numRef>
          </c:yVal>
          <c:smooth val="0"/>
          <c:extLst>
            <c:ext xmlns:c16="http://schemas.microsoft.com/office/drawing/2014/chart" uri="{C3380CC4-5D6E-409C-BE32-E72D297353CC}">
              <c16:uniqueId val="{00000016-E554-DA4A-87B4-9116B2AFEB53}"/>
            </c:ext>
          </c:extLst>
        </c:ser>
        <c:ser>
          <c:idx val="13"/>
          <c:order val="13"/>
          <c:tx>
            <c:v>p16-24</c:v>
          </c:tx>
          <c:spPr>
            <a:ln w="28575">
              <a:noFill/>
            </a:ln>
          </c:spPr>
          <c:marker>
            <c:symbol val="none"/>
          </c:marker>
          <c:trendline>
            <c:spPr>
              <a:ln>
                <a:solidFill>
                  <a:srgbClr val="FF0000"/>
                </a:solidFill>
              </a:ln>
            </c:spPr>
            <c:trendlineType val="linear"/>
            <c:dispRSqr val="0"/>
            <c:dispEq val="0"/>
          </c:trendline>
          <c:xVal>
            <c:numRef>
              <c:f>'Mosher TotalsMetabolites 6.0 28'!$Q$36:$Q$37</c:f>
              <c:numCache>
                <c:formatCode>General</c:formatCode>
                <c:ptCount val="2"/>
                <c:pt idx="0">
                  <c:v>16</c:v>
                </c:pt>
                <c:pt idx="1">
                  <c:v>24</c:v>
                </c:pt>
              </c:numCache>
            </c:numRef>
          </c:xVal>
          <c:yVal>
            <c:numRef>
              <c:f>'Mosher TotalsMetabolites 6.0 28'!$R$36:$R$37</c:f>
              <c:numCache>
                <c:formatCode>0</c:formatCode>
                <c:ptCount val="2"/>
                <c:pt idx="0">
                  <c:v>3083.8500000000004</c:v>
                </c:pt>
                <c:pt idx="1">
                  <c:v>4569.5</c:v>
                </c:pt>
              </c:numCache>
            </c:numRef>
          </c:yVal>
          <c:smooth val="0"/>
          <c:extLst>
            <c:ext xmlns:c16="http://schemas.microsoft.com/office/drawing/2014/chart" uri="{C3380CC4-5D6E-409C-BE32-E72D297353CC}">
              <c16:uniqueId val="{00000018-E554-DA4A-87B4-9116B2AFEB53}"/>
            </c:ext>
          </c:extLst>
        </c:ser>
        <c:ser>
          <c:idx val="14"/>
          <c:order val="14"/>
          <c:tx>
            <c:v>p24-36</c:v>
          </c:tx>
          <c:spPr>
            <a:ln w="28575">
              <a:noFill/>
            </a:ln>
          </c:spPr>
          <c:marker>
            <c:symbol val="none"/>
          </c:marker>
          <c:trendline>
            <c:spPr>
              <a:ln>
                <a:solidFill>
                  <a:srgbClr val="FF0000"/>
                </a:solidFill>
              </a:ln>
            </c:spPr>
            <c:trendlineType val="linear"/>
            <c:dispRSqr val="0"/>
            <c:dispEq val="0"/>
          </c:trendline>
          <c:xVal>
            <c:numRef>
              <c:f>'Mosher TotalsMetabolites 6.0 28'!$Q$37:$Q$38</c:f>
              <c:numCache>
                <c:formatCode>General</c:formatCode>
                <c:ptCount val="2"/>
                <c:pt idx="0">
                  <c:v>24</c:v>
                </c:pt>
                <c:pt idx="1">
                  <c:v>36</c:v>
                </c:pt>
              </c:numCache>
            </c:numRef>
          </c:xVal>
          <c:yVal>
            <c:numRef>
              <c:f>'Mosher TotalsMetabolites 6.0 28'!$R$37:$R$38</c:f>
              <c:numCache>
                <c:formatCode>0</c:formatCode>
                <c:ptCount val="2"/>
                <c:pt idx="0">
                  <c:v>4569.5</c:v>
                </c:pt>
                <c:pt idx="1">
                  <c:v>4428.45</c:v>
                </c:pt>
              </c:numCache>
            </c:numRef>
          </c:yVal>
          <c:smooth val="0"/>
          <c:extLst>
            <c:ext xmlns:c16="http://schemas.microsoft.com/office/drawing/2014/chart" uri="{C3380CC4-5D6E-409C-BE32-E72D297353CC}">
              <c16:uniqueId val="{0000001A-E554-DA4A-87B4-9116B2AFEB53}"/>
            </c:ext>
          </c:extLst>
        </c:ser>
        <c:ser>
          <c:idx val="15"/>
          <c:order val="15"/>
          <c:tx>
            <c:v>m0-3</c:v>
          </c:tx>
          <c:spPr>
            <a:ln w="28575">
              <a:noFill/>
            </a:ln>
          </c:spPr>
          <c:marker>
            <c:symbol val="none"/>
          </c:marker>
          <c:trendline>
            <c:spPr>
              <a:ln>
                <a:solidFill>
                  <a:srgbClr val="008000"/>
                </a:solidFill>
              </a:ln>
            </c:spPr>
            <c:trendlineType val="linear"/>
            <c:dispRSqr val="0"/>
            <c:dispEq val="0"/>
          </c:trendline>
          <c:xVal>
            <c:numRef>
              <c:f>'Mosher TotalsMetabolites 6.0 28'!$Q$32:$Q$33</c:f>
              <c:numCache>
                <c:formatCode>General</c:formatCode>
                <c:ptCount val="2"/>
                <c:pt idx="0">
                  <c:v>0</c:v>
                </c:pt>
                <c:pt idx="1">
                  <c:v>3</c:v>
                </c:pt>
              </c:numCache>
            </c:numRef>
          </c:xVal>
          <c:yVal>
            <c:numRef>
              <c:f>'Mosher TotalsMetabolites 6.0 28'!$S$32:$S$33</c:f>
              <c:numCache>
                <c:formatCode>0</c:formatCode>
                <c:ptCount val="2"/>
                <c:pt idx="0" formatCode="General">
                  <c:v>0</c:v>
                </c:pt>
                <c:pt idx="1">
                  <c:v>225.64666666666662</c:v>
                </c:pt>
              </c:numCache>
            </c:numRef>
          </c:yVal>
          <c:smooth val="0"/>
          <c:extLst>
            <c:ext xmlns:c16="http://schemas.microsoft.com/office/drawing/2014/chart" uri="{C3380CC4-5D6E-409C-BE32-E72D297353CC}">
              <c16:uniqueId val="{0000001C-E554-DA4A-87B4-9116B2AFEB53}"/>
            </c:ext>
          </c:extLst>
        </c:ser>
        <c:ser>
          <c:idx val="16"/>
          <c:order val="16"/>
          <c:tx>
            <c:v>m3-6</c:v>
          </c:tx>
          <c:spPr>
            <a:ln w="28575">
              <a:noFill/>
            </a:ln>
          </c:spPr>
          <c:marker>
            <c:symbol val="none"/>
          </c:marker>
          <c:trendline>
            <c:spPr>
              <a:ln>
                <a:solidFill>
                  <a:srgbClr val="008000"/>
                </a:solidFill>
              </a:ln>
            </c:spPr>
            <c:trendlineType val="linear"/>
            <c:dispRSqr val="0"/>
            <c:dispEq val="0"/>
          </c:trendline>
          <c:xVal>
            <c:numRef>
              <c:f>'Mosher TotalsMetabolites 6.0 28'!$Q$33:$Q$34</c:f>
              <c:numCache>
                <c:formatCode>General</c:formatCode>
                <c:ptCount val="2"/>
                <c:pt idx="0">
                  <c:v>3</c:v>
                </c:pt>
                <c:pt idx="1">
                  <c:v>6</c:v>
                </c:pt>
              </c:numCache>
            </c:numRef>
          </c:xVal>
          <c:yVal>
            <c:numRef>
              <c:f>'Mosher TotalsMetabolites 6.0 28'!$S$33:$S$34</c:f>
              <c:numCache>
                <c:formatCode>0</c:formatCode>
                <c:ptCount val="2"/>
                <c:pt idx="0">
                  <c:v>225.64666666666662</c:v>
                </c:pt>
                <c:pt idx="1">
                  <c:v>811.15999999999985</c:v>
                </c:pt>
              </c:numCache>
            </c:numRef>
          </c:yVal>
          <c:smooth val="0"/>
          <c:extLst>
            <c:ext xmlns:c16="http://schemas.microsoft.com/office/drawing/2014/chart" uri="{C3380CC4-5D6E-409C-BE32-E72D297353CC}">
              <c16:uniqueId val="{0000001E-E554-DA4A-87B4-9116B2AFEB53}"/>
            </c:ext>
          </c:extLst>
        </c:ser>
        <c:ser>
          <c:idx val="17"/>
          <c:order val="17"/>
          <c:tx>
            <c:v>m6-12</c:v>
          </c:tx>
          <c:spPr>
            <a:ln w="28575">
              <a:noFill/>
            </a:ln>
          </c:spPr>
          <c:marker>
            <c:symbol val="none"/>
          </c:marker>
          <c:trendline>
            <c:spPr>
              <a:ln>
                <a:solidFill>
                  <a:srgbClr val="008000"/>
                </a:solidFill>
              </a:ln>
            </c:spPr>
            <c:trendlineType val="linear"/>
            <c:dispRSqr val="0"/>
            <c:dispEq val="0"/>
          </c:trendline>
          <c:xVal>
            <c:numRef>
              <c:f>'Mosher TotalsMetabolites 6.0 28'!$Q$34:$Q$35</c:f>
              <c:numCache>
                <c:formatCode>General</c:formatCode>
                <c:ptCount val="2"/>
                <c:pt idx="0">
                  <c:v>6</c:v>
                </c:pt>
                <c:pt idx="1">
                  <c:v>12</c:v>
                </c:pt>
              </c:numCache>
            </c:numRef>
          </c:xVal>
          <c:yVal>
            <c:numRef>
              <c:f>'Mosher TotalsMetabolites 6.0 28'!$S$34:$S$35</c:f>
              <c:numCache>
                <c:formatCode>0</c:formatCode>
                <c:ptCount val="2"/>
                <c:pt idx="0">
                  <c:v>811.15999999999985</c:v>
                </c:pt>
                <c:pt idx="1">
                  <c:v>1871.573333333333</c:v>
                </c:pt>
              </c:numCache>
            </c:numRef>
          </c:yVal>
          <c:smooth val="0"/>
          <c:extLst>
            <c:ext xmlns:c16="http://schemas.microsoft.com/office/drawing/2014/chart" uri="{C3380CC4-5D6E-409C-BE32-E72D297353CC}">
              <c16:uniqueId val="{00000020-E554-DA4A-87B4-9116B2AFEB53}"/>
            </c:ext>
          </c:extLst>
        </c:ser>
        <c:ser>
          <c:idx val="18"/>
          <c:order val="18"/>
          <c:tx>
            <c:v>m12-16</c:v>
          </c:tx>
          <c:spPr>
            <a:ln w="28575">
              <a:noFill/>
            </a:ln>
          </c:spPr>
          <c:marker>
            <c:symbol val="none"/>
          </c:marker>
          <c:trendline>
            <c:spPr>
              <a:ln>
                <a:solidFill>
                  <a:srgbClr val="008000"/>
                </a:solidFill>
              </a:ln>
            </c:spPr>
            <c:trendlineType val="linear"/>
            <c:dispRSqr val="0"/>
            <c:dispEq val="0"/>
          </c:trendline>
          <c:xVal>
            <c:numRef>
              <c:f>'Mosher TotalsMetabolites 6.0 28'!$Q$35:$Q$36</c:f>
              <c:numCache>
                <c:formatCode>General</c:formatCode>
                <c:ptCount val="2"/>
                <c:pt idx="0">
                  <c:v>12</c:v>
                </c:pt>
                <c:pt idx="1">
                  <c:v>16</c:v>
                </c:pt>
              </c:numCache>
            </c:numRef>
          </c:xVal>
          <c:yVal>
            <c:numRef>
              <c:f>'Mosher TotalsMetabolites 6.0 28'!$S$35:$S$36</c:f>
              <c:numCache>
                <c:formatCode>0</c:formatCode>
                <c:ptCount val="2"/>
                <c:pt idx="0">
                  <c:v>1871.573333333333</c:v>
                </c:pt>
                <c:pt idx="1">
                  <c:v>1811.1499999999996</c:v>
                </c:pt>
              </c:numCache>
            </c:numRef>
          </c:yVal>
          <c:smooth val="0"/>
          <c:extLst>
            <c:ext xmlns:c16="http://schemas.microsoft.com/office/drawing/2014/chart" uri="{C3380CC4-5D6E-409C-BE32-E72D297353CC}">
              <c16:uniqueId val="{00000022-E554-DA4A-87B4-9116B2AFEB53}"/>
            </c:ext>
          </c:extLst>
        </c:ser>
        <c:ser>
          <c:idx val="19"/>
          <c:order val="19"/>
          <c:tx>
            <c:v>m16-24</c:v>
          </c:tx>
          <c:spPr>
            <a:ln w="28575">
              <a:noFill/>
            </a:ln>
          </c:spPr>
          <c:marker>
            <c:symbol val="none"/>
          </c:marker>
          <c:trendline>
            <c:spPr>
              <a:ln>
                <a:solidFill>
                  <a:srgbClr val="008000"/>
                </a:solidFill>
              </a:ln>
            </c:spPr>
            <c:trendlineType val="linear"/>
            <c:dispRSqr val="0"/>
            <c:dispEq val="0"/>
          </c:trendline>
          <c:xVal>
            <c:numRef>
              <c:f>'Mosher TotalsMetabolites 6.0 28'!$Q$36:$Q$37</c:f>
              <c:numCache>
                <c:formatCode>General</c:formatCode>
                <c:ptCount val="2"/>
                <c:pt idx="0">
                  <c:v>16</c:v>
                </c:pt>
                <c:pt idx="1">
                  <c:v>24</c:v>
                </c:pt>
              </c:numCache>
            </c:numRef>
          </c:xVal>
          <c:yVal>
            <c:numRef>
              <c:f>'Mosher TotalsMetabolites 6.0 28'!$S$36:$S$37</c:f>
              <c:numCache>
                <c:formatCode>0</c:formatCode>
                <c:ptCount val="2"/>
                <c:pt idx="0">
                  <c:v>1811.1499999999996</c:v>
                </c:pt>
                <c:pt idx="1">
                  <c:v>4569.5</c:v>
                </c:pt>
              </c:numCache>
            </c:numRef>
          </c:yVal>
          <c:smooth val="0"/>
          <c:extLst>
            <c:ext xmlns:c16="http://schemas.microsoft.com/office/drawing/2014/chart" uri="{C3380CC4-5D6E-409C-BE32-E72D297353CC}">
              <c16:uniqueId val="{00000024-E554-DA4A-87B4-9116B2AFEB53}"/>
            </c:ext>
          </c:extLst>
        </c:ser>
        <c:ser>
          <c:idx val="20"/>
          <c:order val="20"/>
          <c:tx>
            <c:v>m24-36</c:v>
          </c:tx>
          <c:spPr>
            <a:ln w="28575">
              <a:noFill/>
            </a:ln>
          </c:spPr>
          <c:marker>
            <c:symbol val="none"/>
          </c:marker>
          <c:trendline>
            <c:spPr>
              <a:ln>
                <a:solidFill>
                  <a:srgbClr val="008000"/>
                </a:solidFill>
              </a:ln>
            </c:spPr>
            <c:trendlineType val="linear"/>
            <c:dispRSqr val="0"/>
            <c:dispEq val="0"/>
          </c:trendline>
          <c:xVal>
            <c:numRef>
              <c:f>'Mosher TotalsMetabolites 6.0 28'!$Q$37:$Q$38</c:f>
              <c:numCache>
                <c:formatCode>General</c:formatCode>
                <c:ptCount val="2"/>
                <c:pt idx="0">
                  <c:v>24</c:v>
                </c:pt>
                <c:pt idx="1">
                  <c:v>36</c:v>
                </c:pt>
              </c:numCache>
            </c:numRef>
          </c:xVal>
          <c:yVal>
            <c:numRef>
              <c:f>'Mosher TotalsMetabolites 6.0 28'!$S$37:$S$38</c:f>
              <c:numCache>
                <c:formatCode>0</c:formatCode>
                <c:ptCount val="2"/>
                <c:pt idx="0">
                  <c:v>4569.5</c:v>
                </c:pt>
                <c:pt idx="1">
                  <c:v>6926.55</c:v>
                </c:pt>
              </c:numCache>
            </c:numRef>
          </c:yVal>
          <c:smooth val="0"/>
          <c:extLst>
            <c:ext xmlns:c16="http://schemas.microsoft.com/office/drawing/2014/chart" uri="{C3380CC4-5D6E-409C-BE32-E72D297353CC}">
              <c16:uniqueId val="{00000026-E554-DA4A-87B4-9116B2AFEB53}"/>
            </c:ext>
          </c:extLst>
        </c:ser>
        <c:dLbls>
          <c:showLegendKey val="0"/>
          <c:showVal val="0"/>
          <c:showCatName val="0"/>
          <c:showSerName val="0"/>
          <c:showPercent val="0"/>
          <c:showBubbleSize val="0"/>
        </c:dLbls>
        <c:axId val="2118866184"/>
        <c:axId val="-2142403176"/>
      </c:scatterChart>
      <c:valAx>
        <c:axId val="2118866184"/>
        <c:scaling>
          <c:orientation val="minMax"/>
        </c:scaling>
        <c:delete val="0"/>
        <c:axPos val="b"/>
        <c:title>
          <c:tx>
            <c:rich>
              <a:bodyPr/>
              <a:lstStyle/>
              <a:p>
                <a:pPr>
                  <a:defRPr/>
                </a:pPr>
                <a:r>
                  <a:rPr lang="en-US"/>
                  <a:t>Time (h)</a:t>
                </a:r>
              </a:p>
            </c:rich>
          </c:tx>
          <c:overlay val="0"/>
        </c:title>
        <c:numFmt formatCode="General" sourceLinked="1"/>
        <c:majorTickMark val="out"/>
        <c:minorTickMark val="none"/>
        <c:tickLblPos val="nextTo"/>
        <c:crossAx val="-2142403176"/>
        <c:crosses val="autoZero"/>
        <c:crossBetween val="midCat"/>
      </c:valAx>
      <c:valAx>
        <c:axId val="-2142403176"/>
        <c:scaling>
          <c:orientation val="minMax"/>
        </c:scaling>
        <c:delete val="0"/>
        <c:axPos val="l"/>
        <c:title>
          <c:tx>
            <c:rich>
              <a:bodyPr rot="-5400000" vert="horz"/>
              <a:lstStyle/>
              <a:p>
                <a:pPr>
                  <a:defRPr/>
                </a:pPr>
                <a:r>
                  <a:rPr lang="en-US"/>
                  <a:t>Body residue (ng/g)</a:t>
                </a:r>
              </a:p>
            </c:rich>
          </c:tx>
          <c:overlay val="0"/>
        </c:title>
        <c:numFmt formatCode="General" sourceLinked="1"/>
        <c:majorTickMark val="out"/>
        <c:minorTickMark val="none"/>
        <c:tickLblPos val="nextTo"/>
        <c:crossAx val="2118866184"/>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6.0 28'!$I$11:$I$28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6.0 28'!$H$11:$H$28</c:f>
              <c:numCache>
                <c:formatCode>0.000</c:formatCode>
                <c:ptCount val="18"/>
                <c:pt idx="0">
                  <c:v>0.39587982477890743</c:v>
                </c:pt>
                <c:pt idx="1">
                  <c:v>0.4039590048764361</c:v>
                </c:pt>
                <c:pt idx="2">
                  <c:v>0.55746342672948179</c:v>
                </c:pt>
                <c:pt idx="3">
                  <c:v>0.33932556409620629</c:v>
                </c:pt>
                <c:pt idx="4">
                  <c:v>0.34740474419373502</c:v>
                </c:pt>
                <c:pt idx="5">
                  <c:v>0.33932556409620629</c:v>
                </c:pt>
                <c:pt idx="6">
                  <c:v>0.29085048351103393</c:v>
                </c:pt>
                <c:pt idx="7">
                  <c:v>0.31508802380362017</c:v>
                </c:pt>
                <c:pt idx="8">
                  <c:v>0.27469212331597653</c:v>
                </c:pt>
                <c:pt idx="9">
                  <c:v>0.34740474419373502</c:v>
                </c:pt>
                <c:pt idx="10">
                  <c:v>0.30700884370609138</c:v>
                </c:pt>
                <c:pt idx="11">
                  <c:v>0.29892966360856266</c:v>
                </c:pt>
                <c:pt idx="12">
                  <c:v>0.37972146458384992</c:v>
                </c:pt>
                <c:pt idx="13">
                  <c:v>0.30700884370609138</c:v>
                </c:pt>
                <c:pt idx="14">
                  <c:v>0.32316720390114884</c:v>
                </c:pt>
                <c:pt idx="15">
                  <c:v>0.41203818497396477</c:v>
                </c:pt>
                <c:pt idx="16">
                  <c:v>0.29892966360856266</c:v>
                </c:pt>
                <c:pt idx="17">
                  <c:v>0.29892966360856266</c:v>
                </c:pt>
              </c:numCache>
            </c:numRef>
          </c:yVal>
          <c:smooth val="0"/>
          <c:extLst>
            <c:ext xmlns:c16="http://schemas.microsoft.com/office/drawing/2014/chart" uri="{C3380CC4-5D6E-409C-BE32-E72D297353CC}">
              <c16:uniqueId val="{00000001-DABE-C04F-9888-DBB3B62AD6C7}"/>
            </c:ext>
          </c:extLst>
        </c:ser>
        <c:dLbls>
          <c:showLegendKey val="0"/>
          <c:showVal val="0"/>
          <c:showCatName val="0"/>
          <c:showSerName val="0"/>
          <c:showPercent val="0"/>
          <c:showBubbleSize val="0"/>
        </c:dLbls>
        <c:axId val="2135685864"/>
        <c:axId val="2116171032"/>
      </c:scatterChart>
      <c:valAx>
        <c:axId val="2135685864"/>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16171032"/>
        <c:crosses val="autoZero"/>
        <c:crossBetween val="midCat"/>
      </c:valAx>
      <c:valAx>
        <c:axId val="2116171032"/>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35685864"/>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'Mosher Water Samples 6.0 28'!$I$11:$I$28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'Mosher Water Samples 6.0 28'!$E$11:$E$28</c:f>
              <c:numCache>
                <c:formatCode>0</c:formatCode>
                <c:ptCount val="18"/>
                <c:pt idx="0">
                  <c:v>395.87982477890745</c:v>
                </c:pt>
                <c:pt idx="1">
                  <c:v>403.9590048764361</c:v>
                </c:pt>
                <c:pt idx="2">
                  <c:v>557.46342672948174</c:v>
                </c:pt>
                <c:pt idx="3">
                  <c:v>339.32556409620628</c:v>
                </c:pt>
                <c:pt idx="4">
                  <c:v>347.40474419373504</c:v>
                </c:pt>
                <c:pt idx="5">
                  <c:v>339.32556409620628</c:v>
                </c:pt>
                <c:pt idx="6">
                  <c:v>290.85048351103393</c:v>
                </c:pt>
                <c:pt idx="7">
                  <c:v>315.08802380362016</c:v>
                </c:pt>
                <c:pt idx="8">
                  <c:v>274.69212331597652</c:v>
                </c:pt>
                <c:pt idx="9">
                  <c:v>347.40474419373504</c:v>
                </c:pt>
                <c:pt idx="10">
                  <c:v>307.0088437060914</c:v>
                </c:pt>
                <c:pt idx="11">
                  <c:v>298.92966360856263</c:v>
                </c:pt>
                <c:pt idx="12">
                  <c:v>379.72146458384992</c:v>
                </c:pt>
                <c:pt idx="13">
                  <c:v>307.0088437060914</c:v>
                </c:pt>
                <c:pt idx="14">
                  <c:v>323.16720390114881</c:v>
                </c:pt>
                <c:pt idx="15">
                  <c:v>412.03818497396475</c:v>
                </c:pt>
                <c:pt idx="16">
                  <c:v>298.92966360856263</c:v>
                </c:pt>
                <c:pt idx="17">
                  <c:v>298.92966360856263</c:v>
                </c:pt>
              </c:numCache>
            </c:numRef>
          </c:yVal>
          <c:smooth val="0"/>
          <c:extLst>
            <c:ext xmlns:c16="http://schemas.microsoft.com/office/drawing/2014/chart" uri="{C3380CC4-5D6E-409C-BE32-E72D297353CC}">
              <c16:uniqueId val="{00000001-203A-3043-961F-754822AC037C}"/>
            </c:ext>
          </c:extLst>
        </c:ser>
        <c:dLbls>
          <c:showLegendKey val="0"/>
          <c:showVal val="0"/>
          <c:showCatName val="0"/>
          <c:showSerName val="0"/>
          <c:showPercent val="0"/>
          <c:showBubbleSize val="0"/>
        </c:dLbls>
        <c:axId val="-2142517832"/>
        <c:axId val="-2142512392"/>
      </c:scatterChart>
      <c:valAx>
        <c:axId val="-2142517832"/>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42512392"/>
        <c:crosses val="autoZero"/>
        <c:crossBetween val="midCat"/>
      </c:valAx>
      <c:valAx>
        <c:axId val="-2142512392"/>
        <c:scaling>
          <c:orientation val="minMax"/>
        </c:scaling>
        <c:delete val="0"/>
        <c:axPos val="l"/>
        <c:majorGridlines/>
        <c:title>
          <c:tx>
            <c:rich>
              <a:bodyPr rot="-5400000" vert="horz"/>
              <a:lstStyle/>
              <a:p>
                <a:pPr>
                  <a:defRPr/>
                </a:pPr>
                <a:r>
                  <a:rPr lang="en-US"/>
                  <a:t>ng/L</a:t>
                </a:r>
              </a:p>
            </c:rich>
          </c:tx>
          <c:overlay val="0"/>
        </c:title>
        <c:numFmt formatCode="0" sourceLinked="1"/>
        <c:majorTickMark val="out"/>
        <c:minorTickMark val="none"/>
        <c:tickLblPos val="nextTo"/>
        <c:crossAx val="-2142517832"/>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14534136350495E-2"/>
          <c:y val="2.2556390977443601E-2"/>
          <c:w val="0.77975032511702302"/>
          <c:h val="0.85583979634124696"/>
        </c:manualLayout>
      </c:layout>
      <c:scatterChart>
        <c:scatterStyle val="lineMarker"/>
        <c:varyColors val="0"/>
        <c:ser>
          <c:idx val="1"/>
          <c:order val="0"/>
          <c:spPr>
            <a:ln w="28575">
              <a:noFill/>
            </a:ln>
          </c:spPr>
          <c:xVal>
            <c:numRef>
              <c:f>'Esc TotalsMetabolites 0.2 18'!$G$6:$G$23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TotalsMetabolites 0.2 18'!$C$6:$C$23</c:f>
              <c:numCache>
                <c:formatCode>0</c:formatCode>
                <c:ptCount val="18"/>
                <c:pt idx="0">
                  <c:v>2184.2369236614722</c:v>
                </c:pt>
                <c:pt idx="1">
                  <c:v>1194.2951151319514</c:v>
                </c:pt>
                <c:pt idx="2">
                  <c:v>1875.1329726939441</c:v>
                </c:pt>
                <c:pt idx="3">
                  <c:v>1601.2865737492011</c:v>
                </c:pt>
                <c:pt idx="4">
                  <c:v>2029.8223755670492</c:v>
                </c:pt>
                <c:pt idx="5">
                  <c:v>1799.6627447847011</c:v>
                </c:pt>
                <c:pt idx="6">
                  <c:v>1619.0455977041322</c:v>
                </c:pt>
                <c:pt idx="7">
                  <c:v>1838.5571221233017</c:v>
                </c:pt>
                <c:pt idx="8">
                  <c:v>1917.5514141481251</c:v>
                </c:pt>
                <c:pt idx="9">
                  <c:v>2999.6249403314132</c:v>
                </c:pt>
                <c:pt idx="10">
                  <c:v>3501.1522054204934</c:v>
                </c:pt>
                <c:pt idx="11">
                  <c:v>2573.5854509750361</c:v>
                </c:pt>
                <c:pt idx="12">
                  <c:v>1729.0664648388185</c:v>
                </c:pt>
                <c:pt idx="13">
                  <c:v>3254.6114351178621</c:v>
                </c:pt>
                <c:pt idx="14">
                  <c:v>2332.4053246105073</c:v>
                </c:pt>
                <c:pt idx="15">
                  <c:v>3215.5936424229158</c:v>
                </c:pt>
                <c:pt idx="16">
                  <c:v>3505.3678406733329</c:v>
                </c:pt>
                <c:pt idx="17">
                  <c:v>5460.8825346285166</c:v>
                </c:pt>
              </c:numCache>
            </c:numRef>
          </c:yVal>
          <c:smooth val="0"/>
          <c:extLst>
            <c:ext xmlns:c16="http://schemas.microsoft.com/office/drawing/2014/chart" uri="{C3380CC4-5D6E-409C-BE32-E72D297353CC}">
              <c16:uniqueId val="{00000000-4457-C04D-A67B-72EAFFB2E98A}"/>
            </c:ext>
          </c:extLst>
        </c:ser>
        <c:dLbls>
          <c:showLegendKey val="0"/>
          <c:showVal val="0"/>
          <c:showCatName val="0"/>
          <c:showSerName val="0"/>
          <c:showPercent val="0"/>
          <c:showBubbleSize val="0"/>
        </c:dLbls>
        <c:axId val="-2141173848"/>
        <c:axId val="-2144870936"/>
      </c:scatterChart>
      <c:valAx>
        <c:axId val="-2141173848"/>
        <c:scaling>
          <c:orientation val="minMax"/>
        </c:scaling>
        <c:delete val="0"/>
        <c:axPos val="b"/>
        <c:numFmt formatCode="General" sourceLinked="1"/>
        <c:majorTickMark val="out"/>
        <c:minorTickMark val="none"/>
        <c:tickLblPos val="nextTo"/>
        <c:crossAx val="-2144870936"/>
        <c:crosses val="autoZero"/>
        <c:crossBetween val="midCat"/>
      </c:valAx>
      <c:valAx>
        <c:axId val="-2144870936"/>
        <c:scaling>
          <c:orientation val="minMax"/>
        </c:scaling>
        <c:delete val="0"/>
        <c:axPos val="l"/>
        <c:majorGridlines/>
        <c:numFmt formatCode="0" sourceLinked="1"/>
        <c:majorTickMark val="out"/>
        <c:minorTickMark val="none"/>
        <c:tickLblPos val="nextTo"/>
        <c:crossAx val="-2141173848"/>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'Esc Water Samples 0.2 18'!$I$11:$I$28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Water Samples 0.2 18'!$H$11:$H$28</c:f>
              <c:numCache>
                <c:formatCode>0.000</c:formatCode>
                <c:ptCount val="18"/>
                <c:pt idx="0">
                  <c:v>0.3007031421665568</c:v>
                </c:pt>
                <c:pt idx="1">
                  <c:v>0.47611330843038163</c:v>
                </c:pt>
                <c:pt idx="2">
                  <c:v>0.26848494836299719</c:v>
                </c:pt>
                <c:pt idx="3">
                  <c:v>0.26132534973998389</c:v>
                </c:pt>
                <c:pt idx="4">
                  <c:v>0.27027484801875046</c:v>
                </c:pt>
                <c:pt idx="5">
                  <c:v>0.25774555042847724</c:v>
                </c:pt>
                <c:pt idx="6">
                  <c:v>0.21657785834615101</c:v>
                </c:pt>
                <c:pt idx="7">
                  <c:v>0.22910715593642425</c:v>
                </c:pt>
                <c:pt idx="8">
                  <c:v>0.23805665421519082</c:v>
                </c:pt>
                <c:pt idx="9">
                  <c:v>0.18793946385409802</c:v>
                </c:pt>
                <c:pt idx="10">
                  <c:v>0.27027484801875046</c:v>
                </c:pt>
                <c:pt idx="11">
                  <c:v>0.22910715593642425</c:v>
                </c:pt>
                <c:pt idx="12">
                  <c:v>0.22194755731341098</c:v>
                </c:pt>
                <c:pt idx="13">
                  <c:v>0.25953545008423057</c:v>
                </c:pt>
                <c:pt idx="14">
                  <c:v>0.25595565077272392</c:v>
                </c:pt>
                <c:pt idx="15">
                  <c:v>0.22373745696916428</c:v>
                </c:pt>
                <c:pt idx="16">
                  <c:v>0.20941825972313777</c:v>
                </c:pt>
                <c:pt idx="17">
                  <c:v>0.32218193803559658</c:v>
                </c:pt>
              </c:numCache>
            </c:numRef>
          </c:yVal>
          <c:smooth val="0"/>
          <c:extLst>
            <c:ext xmlns:c16="http://schemas.microsoft.com/office/drawing/2014/chart" uri="{C3380CC4-5D6E-409C-BE32-E72D297353CC}">
              <c16:uniqueId val="{00000001-4192-2C42-93E6-BB94011CFE40}"/>
            </c:ext>
          </c:extLst>
        </c:ser>
        <c:dLbls>
          <c:showLegendKey val="0"/>
          <c:showVal val="0"/>
          <c:showCatName val="0"/>
          <c:showSerName val="0"/>
          <c:showPercent val="0"/>
          <c:showBubbleSize val="0"/>
        </c:dLbls>
        <c:axId val="-2138015944"/>
        <c:axId val="2115114280"/>
      </c:scatterChart>
      <c:valAx>
        <c:axId val="-2138015944"/>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15114280"/>
        <c:crosses val="autoZero"/>
        <c:crossBetween val="midCat"/>
      </c:valAx>
      <c:valAx>
        <c:axId val="2115114280"/>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38015944"/>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14534136350495E-2"/>
          <c:y val="2.2556390977443601E-2"/>
          <c:w val="0.77975032511702302"/>
          <c:h val="0.85583979634124696"/>
        </c:manualLayout>
      </c:layout>
      <c:scatterChart>
        <c:scatterStyle val="lineMarker"/>
        <c:varyColors val="0"/>
        <c:ser>
          <c:idx val="1"/>
          <c:order val="0"/>
          <c:spPr>
            <a:ln w="28575">
              <a:noFill/>
            </a:ln>
          </c:spPr>
          <c:xVal>
            <c:strLit>
              <c:ptCount val="18"/>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strLit>
          </c:xVal>
          <c:yVal>
            <c:numLit>
              <c:formatCode>General</c:formatCode>
              <c:ptCount val="18"/>
            </c:numLit>
          </c:yVal>
          <c:smooth val="0"/>
          <c:extLst>
            <c:ext xmlns:c16="http://schemas.microsoft.com/office/drawing/2014/chart" uri="{C3380CC4-5D6E-409C-BE32-E72D297353CC}">
              <c16:uniqueId val="{00000000-4AF7-C34E-A761-1EFDF4E9FBD4}"/>
            </c:ext>
          </c:extLst>
        </c:ser>
        <c:dLbls>
          <c:showLegendKey val="0"/>
          <c:showVal val="0"/>
          <c:showCatName val="0"/>
          <c:showSerName val="0"/>
          <c:showPercent val="0"/>
          <c:showBubbleSize val="0"/>
        </c:dLbls>
        <c:axId val="-2144291096"/>
        <c:axId val="-2144281208"/>
      </c:scatterChart>
      <c:valAx>
        <c:axId val="-2144291096"/>
        <c:scaling>
          <c:orientation val="minMax"/>
        </c:scaling>
        <c:delete val="0"/>
        <c:axPos val="b"/>
        <c:numFmt formatCode="General" sourceLinked="1"/>
        <c:majorTickMark val="out"/>
        <c:minorTickMark val="none"/>
        <c:tickLblPos val="nextTo"/>
        <c:crossAx val="-2144281208"/>
        <c:crosses val="autoZero"/>
        <c:crossBetween val="midCat"/>
      </c:valAx>
      <c:valAx>
        <c:axId val="-2144281208"/>
        <c:scaling>
          <c:orientation val="minMax"/>
        </c:scaling>
        <c:delete val="0"/>
        <c:axPos val="l"/>
        <c:majorGridlines/>
        <c:numFmt formatCode="General" sourceLinked="1"/>
        <c:majorTickMark val="out"/>
        <c:minorTickMark val="none"/>
        <c:tickLblPos val="nextTo"/>
        <c:crossAx val="-2144291096"/>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'Esc Water Samples 6.0 18'!$I$11:$I$28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Water Samples 6.0 18'!$H$11:$H$28</c:f>
              <c:numCache>
                <c:formatCode>0.000</c:formatCode>
                <c:ptCount val="18"/>
                <c:pt idx="0">
                  <c:v>0.40988702116750897</c:v>
                </c:pt>
                <c:pt idx="1">
                  <c:v>0.27743444664176375</c:v>
                </c:pt>
                <c:pt idx="2">
                  <c:v>0.250585951805464</c:v>
                </c:pt>
                <c:pt idx="3">
                  <c:v>0.28101424595327035</c:v>
                </c:pt>
                <c:pt idx="4">
                  <c:v>0.24521625283820409</c:v>
                </c:pt>
                <c:pt idx="5">
                  <c:v>0.26490514905149043</c:v>
                </c:pt>
                <c:pt idx="6">
                  <c:v>0.36155973046216949</c:v>
                </c:pt>
                <c:pt idx="7">
                  <c:v>0.20225866110012453</c:v>
                </c:pt>
                <c:pt idx="8">
                  <c:v>0.22373745696916428</c:v>
                </c:pt>
                <c:pt idx="9">
                  <c:v>0.28280414560902362</c:v>
                </c:pt>
                <c:pt idx="10">
                  <c:v>0.20762836006738444</c:v>
                </c:pt>
                <c:pt idx="11">
                  <c:v>0.23447685490368417</c:v>
                </c:pt>
                <c:pt idx="12">
                  <c:v>0.25595565077272392</c:v>
                </c:pt>
                <c:pt idx="13">
                  <c:v>0.2255273566249176</c:v>
                </c:pt>
                <c:pt idx="14">
                  <c:v>0.20941825972313777</c:v>
                </c:pt>
                <c:pt idx="15">
                  <c:v>0.23984655387094414</c:v>
                </c:pt>
                <c:pt idx="16">
                  <c:v>0.24879605214971073</c:v>
                </c:pt>
                <c:pt idx="17">
                  <c:v>0.23805665421519082</c:v>
                </c:pt>
              </c:numCache>
            </c:numRef>
          </c:yVal>
          <c:smooth val="0"/>
          <c:extLst>
            <c:ext xmlns:c16="http://schemas.microsoft.com/office/drawing/2014/chart" uri="{C3380CC4-5D6E-409C-BE32-E72D297353CC}">
              <c16:uniqueId val="{00000001-5A0F-2348-B51F-57114E74DE57}"/>
            </c:ext>
          </c:extLst>
        </c:ser>
        <c:dLbls>
          <c:showLegendKey val="0"/>
          <c:showVal val="0"/>
          <c:showCatName val="0"/>
          <c:showSerName val="0"/>
          <c:showPercent val="0"/>
          <c:showBubbleSize val="0"/>
        </c:dLbls>
        <c:axId val="-2139958232"/>
        <c:axId val="-2104900792"/>
      </c:scatterChart>
      <c:valAx>
        <c:axId val="-2139958232"/>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04900792"/>
        <c:crosses val="autoZero"/>
        <c:crossBetween val="midCat"/>
      </c:valAx>
      <c:valAx>
        <c:axId val="-2104900792"/>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39958232"/>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14534136350495E-2"/>
          <c:y val="2.2556390977443601E-2"/>
          <c:w val="0.77975032511702302"/>
          <c:h val="0.85583979634124696"/>
        </c:manualLayout>
      </c:layout>
      <c:scatterChart>
        <c:scatterStyle val="lineMarker"/>
        <c:varyColors val="0"/>
        <c:ser>
          <c:idx val="1"/>
          <c:order val="0"/>
          <c:spPr>
            <a:ln w="28575">
              <a:noFill/>
            </a:ln>
          </c:spPr>
          <c:xVal>
            <c:strLit>
              <c:ptCount val="18"/>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strLit>
          </c:xVal>
          <c:yVal>
            <c:numLit>
              <c:formatCode>General</c:formatCode>
              <c:ptCount val="18"/>
            </c:numLit>
          </c:yVal>
          <c:smooth val="0"/>
          <c:extLst>
            <c:ext xmlns:c16="http://schemas.microsoft.com/office/drawing/2014/chart" uri="{C3380CC4-5D6E-409C-BE32-E72D297353CC}">
              <c16:uniqueId val="{00000000-5F29-3B40-BA1A-81BBED957F4E}"/>
            </c:ext>
          </c:extLst>
        </c:ser>
        <c:dLbls>
          <c:showLegendKey val="0"/>
          <c:showVal val="0"/>
          <c:showCatName val="0"/>
          <c:showSerName val="0"/>
          <c:showPercent val="0"/>
          <c:showBubbleSize val="0"/>
        </c:dLbls>
        <c:axId val="2115535144"/>
        <c:axId val="-2146212280"/>
      </c:scatterChart>
      <c:valAx>
        <c:axId val="2115535144"/>
        <c:scaling>
          <c:orientation val="minMax"/>
        </c:scaling>
        <c:delete val="0"/>
        <c:axPos val="b"/>
        <c:numFmt formatCode="General" sourceLinked="1"/>
        <c:majorTickMark val="out"/>
        <c:minorTickMark val="none"/>
        <c:tickLblPos val="nextTo"/>
        <c:crossAx val="-2146212280"/>
        <c:crosses val="autoZero"/>
        <c:crossBetween val="midCat"/>
      </c:valAx>
      <c:valAx>
        <c:axId val="-2146212280"/>
        <c:scaling>
          <c:orientation val="minMax"/>
        </c:scaling>
        <c:delete val="0"/>
        <c:axPos val="l"/>
        <c:majorGridlines/>
        <c:numFmt formatCode="General" sourceLinked="1"/>
        <c:majorTickMark val="out"/>
        <c:minorTickMark val="none"/>
        <c:tickLblPos val="nextTo"/>
        <c:crossAx val="2115535144"/>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'Esc Water Samples 6.0 18'!$I$11:$I$28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Water Samples 6.0 18'!$H$11:$H$28</c:f>
              <c:numCache>
                <c:formatCode>0.000</c:formatCode>
                <c:ptCount val="18"/>
                <c:pt idx="0">
                  <c:v>0.40988702116750897</c:v>
                </c:pt>
                <c:pt idx="1">
                  <c:v>0.27743444664176375</c:v>
                </c:pt>
                <c:pt idx="2">
                  <c:v>0.250585951805464</c:v>
                </c:pt>
                <c:pt idx="3">
                  <c:v>0.28101424595327035</c:v>
                </c:pt>
                <c:pt idx="4">
                  <c:v>0.24521625283820409</c:v>
                </c:pt>
                <c:pt idx="5">
                  <c:v>0.26490514905149043</c:v>
                </c:pt>
                <c:pt idx="6">
                  <c:v>0.36155973046216949</c:v>
                </c:pt>
                <c:pt idx="7">
                  <c:v>0.20225866110012453</c:v>
                </c:pt>
                <c:pt idx="8">
                  <c:v>0.22373745696916428</c:v>
                </c:pt>
                <c:pt idx="9">
                  <c:v>0.28280414560902362</c:v>
                </c:pt>
                <c:pt idx="10">
                  <c:v>0.20762836006738444</c:v>
                </c:pt>
                <c:pt idx="11">
                  <c:v>0.23447685490368417</c:v>
                </c:pt>
                <c:pt idx="12">
                  <c:v>0.25595565077272392</c:v>
                </c:pt>
                <c:pt idx="13">
                  <c:v>0.2255273566249176</c:v>
                </c:pt>
                <c:pt idx="14">
                  <c:v>0.20941825972313777</c:v>
                </c:pt>
                <c:pt idx="15">
                  <c:v>0.23984655387094414</c:v>
                </c:pt>
                <c:pt idx="16">
                  <c:v>0.24879605214971073</c:v>
                </c:pt>
                <c:pt idx="17">
                  <c:v>0.23805665421519082</c:v>
                </c:pt>
              </c:numCache>
            </c:numRef>
          </c:yVal>
          <c:smooth val="0"/>
          <c:extLst>
            <c:ext xmlns:c16="http://schemas.microsoft.com/office/drawing/2014/chart" uri="{C3380CC4-5D6E-409C-BE32-E72D297353CC}">
              <c16:uniqueId val="{00000001-AFF2-C743-BA91-F11D5D96BCB4}"/>
            </c:ext>
          </c:extLst>
        </c:ser>
        <c:dLbls>
          <c:showLegendKey val="0"/>
          <c:showVal val="0"/>
          <c:showCatName val="0"/>
          <c:showSerName val="0"/>
          <c:showPercent val="0"/>
          <c:showBubbleSize val="0"/>
        </c:dLbls>
        <c:axId val="-2144642248"/>
        <c:axId val="-2139614392"/>
      </c:scatterChart>
      <c:valAx>
        <c:axId val="-2144642248"/>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39614392"/>
        <c:crosses val="autoZero"/>
        <c:crossBetween val="midCat"/>
      </c:valAx>
      <c:valAx>
        <c:axId val="-2139614392"/>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44642248"/>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'Esc TotalsMetabolites 0.2 23'!$G$6:$G$23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TotalsMetabolites 0.2 23'!$C$6:$C$23</c:f>
              <c:numCache>
                <c:formatCode>0</c:formatCode>
                <c:ptCount val="18"/>
                <c:pt idx="0">
                  <c:v>3614.6158355417615</c:v>
                </c:pt>
                <c:pt idx="1">
                  <c:v>2077.5034536502349</c:v>
                </c:pt>
                <c:pt idx="2">
                  <c:v>2567.6298392146023</c:v>
                </c:pt>
                <c:pt idx="3">
                  <c:v>3935.3425636349571</c:v>
                </c:pt>
                <c:pt idx="4">
                  <c:v>3588.2703329713772</c:v>
                </c:pt>
                <c:pt idx="5">
                  <c:v>2286.7386942712833</c:v>
                </c:pt>
                <c:pt idx="6">
                  <c:v>5723.1869336042073</c:v>
                </c:pt>
                <c:pt idx="7">
                  <c:v>3750.6981543678821</c:v>
                </c:pt>
                <c:pt idx="8">
                  <c:v>5188.8818654550496</c:v>
                </c:pt>
                <c:pt idx="9">
                  <c:v>3413.3340767074064</c:v>
                </c:pt>
                <c:pt idx="10">
                  <c:v>4506.0169409928294</c:v>
                </c:pt>
                <c:pt idx="11">
                  <c:v>6120.5909829762968</c:v>
                </c:pt>
                <c:pt idx="12">
                  <c:v>7651.4587982477888</c:v>
                </c:pt>
                <c:pt idx="13">
                  <c:v>6108.3498010103604</c:v>
                </c:pt>
                <c:pt idx="14">
                  <c:v>7302.335857381735</c:v>
                </c:pt>
                <c:pt idx="15">
                  <c:v>8829.0124987372492</c:v>
                </c:pt>
                <c:pt idx="16">
                  <c:v>8192.5720988975318</c:v>
                </c:pt>
                <c:pt idx="17">
                  <c:v>8383.0125114528964</c:v>
                </c:pt>
              </c:numCache>
            </c:numRef>
          </c:yVal>
          <c:smooth val="0"/>
          <c:extLst>
            <c:ext xmlns:c16="http://schemas.microsoft.com/office/drawing/2014/chart" uri="{C3380CC4-5D6E-409C-BE32-E72D297353CC}">
              <c16:uniqueId val="{00000000-EA84-924C-8AE8-38541833D3BE}"/>
            </c:ext>
          </c:extLst>
        </c:ser>
        <c:dLbls>
          <c:showLegendKey val="0"/>
          <c:showVal val="0"/>
          <c:showCatName val="0"/>
          <c:showSerName val="0"/>
          <c:showPercent val="0"/>
          <c:showBubbleSize val="0"/>
        </c:dLbls>
        <c:axId val="-2115313560"/>
        <c:axId val="-2145919352"/>
      </c:scatterChart>
      <c:valAx>
        <c:axId val="-2115313560"/>
        <c:scaling>
          <c:orientation val="minMax"/>
        </c:scaling>
        <c:delete val="0"/>
        <c:axPos val="b"/>
        <c:numFmt formatCode="General" sourceLinked="1"/>
        <c:majorTickMark val="out"/>
        <c:minorTickMark val="none"/>
        <c:tickLblPos val="nextTo"/>
        <c:crossAx val="-2145919352"/>
        <c:crosses val="autoZero"/>
        <c:crossBetween val="midCat"/>
      </c:valAx>
      <c:valAx>
        <c:axId val="-2145919352"/>
        <c:scaling>
          <c:orientation val="minMax"/>
        </c:scaling>
        <c:delete val="0"/>
        <c:axPos val="l"/>
        <c:majorGridlines/>
        <c:numFmt formatCode="0" sourceLinked="1"/>
        <c:majorTickMark val="out"/>
        <c:minorTickMark val="none"/>
        <c:tickLblPos val="nextTo"/>
        <c:crossAx val="-21153135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'Esc Water Samples 0.2 23'!$I$11:$I$28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Water Samples 0.2 23'!$H$11:$H$28</c:f>
              <c:numCache>
                <c:formatCode>0.000</c:formatCode>
                <c:ptCount val="18"/>
                <c:pt idx="0">
                  <c:v>0.60593850731465415</c:v>
                </c:pt>
                <c:pt idx="1">
                  <c:v>0.44435490536407968</c:v>
                </c:pt>
                <c:pt idx="2">
                  <c:v>0.4201173650714935</c:v>
                </c:pt>
                <c:pt idx="3">
                  <c:v>0.39587982477890743</c:v>
                </c:pt>
                <c:pt idx="4">
                  <c:v>0.33124638399867762</c:v>
                </c:pt>
                <c:pt idx="5">
                  <c:v>0.37972146458384992</c:v>
                </c:pt>
                <c:pt idx="6">
                  <c:v>0.29892966360856266</c:v>
                </c:pt>
                <c:pt idx="7">
                  <c:v>0.33932556409620629</c:v>
                </c:pt>
                <c:pt idx="8">
                  <c:v>0.43627572526655095</c:v>
                </c:pt>
                <c:pt idx="9">
                  <c:v>0.33932556409620629</c:v>
                </c:pt>
                <c:pt idx="10">
                  <c:v>0.25853376312091908</c:v>
                </c:pt>
                <c:pt idx="11">
                  <c:v>0.36356310438879241</c:v>
                </c:pt>
                <c:pt idx="12">
                  <c:v>0.33932556409620629</c:v>
                </c:pt>
                <c:pt idx="13">
                  <c:v>0.34740474419373502</c:v>
                </c:pt>
                <c:pt idx="14">
                  <c:v>0.42819654516902222</c:v>
                </c:pt>
                <c:pt idx="15">
                  <c:v>0.29892966360856266</c:v>
                </c:pt>
                <c:pt idx="16">
                  <c:v>0.2827713034135052</c:v>
                </c:pt>
                <c:pt idx="17">
                  <c:v>0.58170096702206786</c:v>
                </c:pt>
              </c:numCache>
            </c:numRef>
          </c:yVal>
          <c:smooth val="0"/>
          <c:extLst>
            <c:ext xmlns:c16="http://schemas.microsoft.com/office/drawing/2014/chart" uri="{C3380CC4-5D6E-409C-BE32-E72D297353CC}">
              <c16:uniqueId val="{00000001-3DCD-1E4D-A48E-F9707B8B40F4}"/>
            </c:ext>
          </c:extLst>
        </c:ser>
        <c:dLbls>
          <c:showLegendKey val="0"/>
          <c:showVal val="0"/>
          <c:showCatName val="0"/>
          <c:showSerName val="0"/>
          <c:showPercent val="0"/>
          <c:showBubbleSize val="0"/>
        </c:dLbls>
        <c:axId val="-2134993704"/>
        <c:axId val="-2119802872"/>
      </c:scatterChart>
      <c:valAx>
        <c:axId val="-2134993704"/>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19802872"/>
        <c:crosses val="autoZero"/>
        <c:crossBetween val="midCat"/>
      </c:valAx>
      <c:valAx>
        <c:axId val="-2119802872"/>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34993704"/>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14534136350495E-2"/>
          <c:y val="2.2556390977443601E-2"/>
          <c:w val="0.77975032511702302"/>
          <c:h val="0.85583979634124696"/>
        </c:manualLayout>
      </c:layout>
      <c:scatterChart>
        <c:scatterStyle val="lineMarker"/>
        <c:varyColors val="0"/>
        <c:ser>
          <c:idx val="1"/>
          <c:order val="0"/>
          <c:spPr>
            <a:ln w="28575">
              <a:noFill/>
            </a:ln>
          </c:spPr>
          <c:xVal>
            <c:numRef>
              <c:f>'Esc TotalsMetabolites 1.0 23'!$G$6:$G$23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TotalsMetabolites 1.0 23'!$D$6:$D$23</c:f>
              <c:numCache>
                <c:formatCode>0.0000</c:formatCode>
                <c:ptCount val="18"/>
                <c:pt idx="0">
                  <c:v>0.38780064468137859</c:v>
                </c:pt>
                <c:pt idx="1">
                  <c:v>0.41257679698046673</c:v>
                </c:pt>
                <c:pt idx="2">
                  <c:v>0.24237540292586165</c:v>
                </c:pt>
                <c:pt idx="3">
                  <c:v>0.30054549962806842</c:v>
                </c:pt>
                <c:pt idx="4">
                  <c:v>0.42658070914951651</c:v>
                </c:pt>
                <c:pt idx="5">
                  <c:v>0.29791976609637161</c:v>
                </c:pt>
                <c:pt idx="6">
                  <c:v>0.40972984780324229</c:v>
                </c:pt>
                <c:pt idx="7">
                  <c:v>0.53571178800536601</c:v>
                </c:pt>
                <c:pt idx="8">
                  <c:v>0.46859244565666586</c:v>
                </c:pt>
                <c:pt idx="9">
                  <c:v>0.63522553516819569</c:v>
                </c:pt>
                <c:pt idx="10">
                  <c:v>0.41665485931540974</c:v>
                </c:pt>
                <c:pt idx="11">
                  <c:v>0.54722979860594534</c:v>
                </c:pt>
                <c:pt idx="12">
                  <c:v>0.50668000897358689</c:v>
                </c:pt>
                <c:pt idx="13">
                  <c:v>0.72250953443613997</c:v>
                </c:pt>
                <c:pt idx="14">
                  <c:v>0.70865951141180505</c:v>
                </c:pt>
                <c:pt idx="15">
                  <c:v>0.89517315480618231</c:v>
                </c:pt>
                <c:pt idx="16">
                  <c:v>0.93395321927432018</c:v>
                </c:pt>
                <c:pt idx="17">
                  <c:v>1.1827919662782049</c:v>
                </c:pt>
              </c:numCache>
            </c:numRef>
          </c:yVal>
          <c:smooth val="0"/>
          <c:extLst>
            <c:ext xmlns:c16="http://schemas.microsoft.com/office/drawing/2014/chart" uri="{C3380CC4-5D6E-409C-BE32-E72D297353CC}">
              <c16:uniqueId val="{00000000-3F80-C849-AEC2-A442BE4AFF27}"/>
            </c:ext>
          </c:extLst>
        </c:ser>
        <c:dLbls>
          <c:showLegendKey val="0"/>
          <c:showVal val="0"/>
          <c:showCatName val="0"/>
          <c:showSerName val="0"/>
          <c:showPercent val="0"/>
          <c:showBubbleSize val="0"/>
        </c:dLbls>
        <c:axId val="-2145064824"/>
        <c:axId val="2118214600"/>
      </c:scatterChart>
      <c:valAx>
        <c:axId val="-2145064824"/>
        <c:scaling>
          <c:orientation val="minMax"/>
        </c:scaling>
        <c:delete val="0"/>
        <c:axPos val="b"/>
        <c:numFmt formatCode="General" sourceLinked="1"/>
        <c:majorTickMark val="out"/>
        <c:minorTickMark val="none"/>
        <c:tickLblPos val="nextTo"/>
        <c:crossAx val="2118214600"/>
        <c:crosses val="autoZero"/>
        <c:crossBetween val="midCat"/>
      </c:valAx>
      <c:valAx>
        <c:axId val="2118214600"/>
        <c:scaling>
          <c:orientation val="minMax"/>
        </c:scaling>
        <c:delete val="0"/>
        <c:axPos val="l"/>
        <c:majorGridlines/>
        <c:numFmt formatCode="0.0000" sourceLinked="1"/>
        <c:majorTickMark val="out"/>
        <c:minorTickMark val="none"/>
        <c:tickLblPos val="nextTo"/>
        <c:crossAx val="-2145064824"/>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0"/>
          </c:trendline>
          <c:trendline>
            <c:trendlineType val="linear"/>
            <c:dispRSqr val="0"/>
            <c:dispEq val="1"/>
            <c:trendlineLbl>
              <c:layout>
                <c:manualLayout>
                  <c:x val="0.284228127734033"/>
                  <c:y val="-0.26134988334791498"/>
                </c:manualLayout>
              </c:layout>
              <c:numFmt formatCode="General" sourceLinked="0"/>
            </c:trendlineLbl>
          </c:trendline>
          <c:xVal>
            <c:numRef>
              <c:f>'Esc Water Samples 1.0 23'!$I$11:$I$28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Water Samples 1.0 23'!$H$11:$H$28</c:f>
              <c:numCache>
                <c:formatCode>0.000</c:formatCode>
                <c:ptCount val="18"/>
                <c:pt idx="0">
                  <c:v>0.5897801471195967</c:v>
                </c:pt>
                <c:pt idx="1">
                  <c:v>0.46051326555913713</c:v>
                </c:pt>
                <c:pt idx="2">
                  <c:v>0.42819654516902222</c:v>
                </c:pt>
                <c:pt idx="3">
                  <c:v>0.46051326555913713</c:v>
                </c:pt>
                <c:pt idx="4">
                  <c:v>0.46051326555913713</c:v>
                </c:pt>
                <c:pt idx="5">
                  <c:v>0.5897801471195967</c:v>
                </c:pt>
                <c:pt idx="6">
                  <c:v>0.35548392429126374</c:v>
                </c:pt>
                <c:pt idx="7">
                  <c:v>0.47667162575419458</c:v>
                </c:pt>
                <c:pt idx="8">
                  <c:v>0.48475080585172331</c:v>
                </c:pt>
                <c:pt idx="9">
                  <c:v>0.37972146458384992</c:v>
                </c:pt>
                <c:pt idx="10">
                  <c:v>0.48475080585172331</c:v>
                </c:pt>
                <c:pt idx="11">
                  <c:v>0.50090916604678071</c:v>
                </c:pt>
                <c:pt idx="12">
                  <c:v>0.42819654516902222</c:v>
                </c:pt>
                <c:pt idx="13">
                  <c:v>0.93718489131333171</c:v>
                </c:pt>
                <c:pt idx="14">
                  <c:v>0.50090916604678071</c:v>
                </c:pt>
                <c:pt idx="15">
                  <c:v>0.41203818497396477</c:v>
                </c:pt>
                <c:pt idx="16">
                  <c:v>0.41203818497396477</c:v>
                </c:pt>
                <c:pt idx="17">
                  <c:v>0.49282998594925198</c:v>
                </c:pt>
              </c:numCache>
            </c:numRef>
          </c:yVal>
          <c:smooth val="0"/>
          <c:extLst>
            <c:ext xmlns:c16="http://schemas.microsoft.com/office/drawing/2014/chart" uri="{C3380CC4-5D6E-409C-BE32-E72D297353CC}">
              <c16:uniqueId val="{00000002-44F1-7644-9998-73363CD0A012}"/>
            </c:ext>
          </c:extLst>
        </c:ser>
        <c:dLbls>
          <c:showLegendKey val="0"/>
          <c:showVal val="0"/>
          <c:showCatName val="0"/>
          <c:showSerName val="0"/>
          <c:showPercent val="0"/>
          <c:showBubbleSize val="0"/>
        </c:dLbls>
        <c:axId val="-2140592936"/>
        <c:axId val="-2140200120"/>
      </c:scatterChart>
      <c:valAx>
        <c:axId val="-2140592936"/>
        <c:scaling>
          <c:orientation val="minMax"/>
        </c:scaling>
        <c:delete val="0"/>
        <c:axPos val="b"/>
        <c:numFmt formatCode="General" sourceLinked="1"/>
        <c:majorTickMark val="out"/>
        <c:minorTickMark val="none"/>
        <c:tickLblPos val="nextTo"/>
        <c:crossAx val="-2140200120"/>
        <c:crosses val="autoZero"/>
        <c:crossBetween val="midCat"/>
      </c:valAx>
      <c:valAx>
        <c:axId val="-2140200120"/>
        <c:scaling>
          <c:orientation val="minMax"/>
        </c:scaling>
        <c:delete val="0"/>
        <c:axPos val="l"/>
        <c:majorGridlines/>
        <c:numFmt formatCode="0.000" sourceLinked="1"/>
        <c:majorTickMark val="out"/>
        <c:minorTickMark val="none"/>
        <c:tickLblPos val="nextTo"/>
        <c:crossAx val="-2140592936"/>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'Esc TotalsMetabolites 6.0 23'!$G$6:$G$23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TotalsMetabolites 6.0 23'!$C$6:$C$23</c:f>
              <c:numCache>
                <c:formatCode>0</c:formatCode>
                <c:ptCount val="18"/>
                <c:pt idx="0">
                  <c:v>2842.8994628898104</c:v>
                </c:pt>
                <c:pt idx="1">
                  <c:v>2941.1846647183261</c:v>
                </c:pt>
                <c:pt idx="2">
                  <c:v>2461.0425527856673</c:v>
                </c:pt>
                <c:pt idx="3">
                  <c:v>2920.4739908103884</c:v>
                </c:pt>
                <c:pt idx="4">
                  <c:v>3484.9000719191213</c:v>
                </c:pt>
                <c:pt idx="5">
                  <c:v>4344.8035191154549</c:v>
                </c:pt>
                <c:pt idx="6">
                  <c:v>5078.3417755894789</c:v>
                </c:pt>
                <c:pt idx="7">
                  <c:v>3740.5264760934097</c:v>
                </c:pt>
                <c:pt idx="8">
                  <c:v>3858.220699636167</c:v>
                </c:pt>
                <c:pt idx="9">
                  <c:v>7367.7299098358881</c:v>
                </c:pt>
                <c:pt idx="10">
                  <c:v>7696.1671151273758</c:v>
                </c:pt>
                <c:pt idx="11">
                  <c:v>8079.1800975287342</c:v>
                </c:pt>
                <c:pt idx="12">
                  <c:v>9617.544527058144</c:v>
                </c:pt>
                <c:pt idx="13">
                  <c:v>9243.5325233490366</c:v>
                </c:pt>
                <c:pt idx="14">
                  <c:v>9639.7738599573659</c:v>
                </c:pt>
                <c:pt idx="15">
                  <c:v>11460.466582790767</c:v>
                </c:pt>
                <c:pt idx="16">
                  <c:v>15241.264075878507</c:v>
                </c:pt>
                <c:pt idx="17">
                  <c:v>14095.87031650139</c:v>
                </c:pt>
              </c:numCache>
            </c:numRef>
          </c:yVal>
          <c:smooth val="0"/>
          <c:extLst>
            <c:ext xmlns:c16="http://schemas.microsoft.com/office/drawing/2014/chart" uri="{C3380CC4-5D6E-409C-BE32-E72D297353CC}">
              <c16:uniqueId val="{00000000-4A9F-A846-B818-1D5FBE3B71E3}"/>
            </c:ext>
          </c:extLst>
        </c:ser>
        <c:dLbls>
          <c:showLegendKey val="0"/>
          <c:showVal val="0"/>
          <c:showCatName val="0"/>
          <c:showSerName val="0"/>
          <c:showPercent val="0"/>
          <c:showBubbleSize val="0"/>
        </c:dLbls>
        <c:axId val="-2144227992"/>
        <c:axId val="-2116351944"/>
      </c:scatterChart>
      <c:valAx>
        <c:axId val="-2144227992"/>
        <c:scaling>
          <c:orientation val="minMax"/>
        </c:scaling>
        <c:delete val="0"/>
        <c:axPos val="b"/>
        <c:numFmt formatCode="General" sourceLinked="1"/>
        <c:majorTickMark val="out"/>
        <c:minorTickMark val="none"/>
        <c:tickLblPos val="nextTo"/>
        <c:crossAx val="-2116351944"/>
        <c:crosses val="autoZero"/>
        <c:crossBetween val="midCat"/>
      </c:valAx>
      <c:valAx>
        <c:axId val="-2116351944"/>
        <c:scaling>
          <c:orientation val="minMax"/>
        </c:scaling>
        <c:delete val="0"/>
        <c:axPos val="l"/>
        <c:majorGridlines/>
        <c:numFmt formatCode="0" sourceLinked="1"/>
        <c:majorTickMark val="out"/>
        <c:minorTickMark val="none"/>
        <c:tickLblPos val="nextTo"/>
        <c:crossAx val="-214422799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0"/>
          </c:trendline>
          <c:trendline>
            <c:trendlineType val="linear"/>
            <c:dispRSqr val="0"/>
            <c:dispEq val="1"/>
            <c:trendlineLbl>
              <c:layout>
                <c:manualLayout>
                  <c:x val="0.30604943132108497"/>
                  <c:y val="-0.249656605424322"/>
                </c:manualLayout>
              </c:layout>
              <c:numFmt formatCode="General" sourceLinked="0"/>
            </c:trendlineLbl>
          </c:trendline>
          <c:xVal>
            <c:numRef>
              <c:f>'Esc Water Samples 6.0 23'!$I$11:$I$28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Water Samples 6.0 23'!$H$11:$H$28</c:f>
              <c:numCache>
                <c:formatCode>0.000</c:formatCode>
                <c:ptCount val="18"/>
                <c:pt idx="0">
                  <c:v>0.66249276799735524</c:v>
                </c:pt>
                <c:pt idx="1">
                  <c:v>0.42819654516902222</c:v>
                </c:pt>
                <c:pt idx="2">
                  <c:v>0.44435490536407968</c:v>
                </c:pt>
                <c:pt idx="3">
                  <c:v>0.37972146458384992</c:v>
                </c:pt>
                <c:pt idx="4">
                  <c:v>0.44435490536407968</c:v>
                </c:pt>
                <c:pt idx="5">
                  <c:v>0.37972146458384992</c:v>
                </c:pt>
                <c:pt idx="6">
                  <c:v>0.50090916604678071</c:v>
                </c:pt>
                <c:pt idx="7">
                  <c:v>0.36356310438879241</c:v>
                </c:pt>
                <c:pt idx="8">
                  <c:v>0.41203818497396477</c:v>
                </c:pt>
                <c:pt idx="9">
                  <c:v>0.4039590048764361</c:v>
                </c:pt>
                <c:pt idx="10">
                  <c:v>0.54938424663195307</c:v>
                </c:pt>
                <c:pt idx="11">
                  <c:v>0.47667162575419458</c:v>
                </c:pt>
                <c:pt idx="12">
                  <c:v>0.37972146458384992</c:v>
                </c:pt>
                <c:pt idx="13">
                  <c:v>0.31508802380362017</c:v>
                </c:pt>
                <c:pt idx="14">
                  <c:v>0.4039590048764361</c:v>
                </c:pt>
                <c:pt idx="15">
                  <c:v>0.42819654516902222</c:v>
                </c:pt>
                <c:pt idx="16">
                  <c:v>0.38780064468137865</c:v>
                </c:pt>
                <c:pt idx="17">
                  <c:v>0.42819654516902222</c:v>
                </c:pt>
              </c:numCache>
            </c:numRef>
          </c:yVal>
          <c:smooth val="0"/>
          <c:extLst>
            <c:ext xmlns:c16="http://schemas.microsoft.com/office/drawing/2014/chart" uri="{C3380CC4-5D6E-409C-BE32-E72D297353CC}">
              <c16:uniqueId val="{00000002-62CE-0448-AE04-41CE30146765}"/>
            </c:ext>
          </c:extLst>
        </c:ser>
        <c:dLbls>
          <c:showLegendKey val="0"/>
          <c:showVal val="0"/>
          <c:showCatName val="0"/>
          <c:showSerName val="0"/>
          <c:showPercent val="0"/>
          <c:showBubbleSize val="0"/>
        </c:dLbls>
        <c:axId val="2133817496"/>
        <c:axId val="-2114022296"/>
      </c:scatterChart>
      <c:valAx>
        <c:axId val="2133817496"/>
        <c:scaling>
          <c:orientation val="minMax"/>
        </c:scaling>
        <c:delete val="0"/>
        <c:axPos val="b"/>
        <c:numFmt formatCode="General" sourceLinked="1"/>
        <c:majorTickMark val="out"/>
        <c:minorTickMark val="none"/>
        <c:tickLblPos val="nextTo"/>
        <c:crossAx val="-2114022296"/>
        <c:crosses val="autoZero"/>
        <c:crossBetween val="midCat"/>
      </c:valAx>
      <c:valAx>
        <c:axId val="-2114022296"/>
        <c:scaling>
          <c:orientation val="minMax"/>
        </c:scaling>
        <c:delete val="0"/>
        <c:axPos val="l"/>
        <c:majorGridlines/>
        <c:numFmt formatCode="0.000" sourceLinked="1"/>
        <c:majorTickMark val="out"/>
        <c:minorTickMark val="none"/>
        <c:tickLblPos val="nextTo"/>
        <c:crossAx val="2133817496"/>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'Esc TotalsMetabolites 0.2 28'!$G$6:$G$23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TotalsMetabolites 0.2 28'!$C$6:$C$23</c:f>
              <c:numCache>
                <c:formatCode>0</c:formatCode>
                <c:ptCount val="18"/>
                <c:pt idx="0">
                  <c:v>2816.8319834986564</c:v>
                </c:pt>
                <c:pt idx="1">
                  <c:v>2417.3268469098516</c:v>
                </c:pt>
                <c:pt idx="2">
                  <c:v>1617.1900398472899</c:v>
                </c:pt>
                <c:pt idx="3">
                  <c:v>2497.8150252198075</c:v>
                </c:pt>
                <c:pt idx="4">
                  <c:v>2870.065187138362</c:v>
                </c:pt>
                <c:pt idx="5">
                  <c:v>2121.3625549668823</c:v>
                </c:pt>
                <c:pt idx="6">
                  <c:v>1955.5763181040295</c:v>
                </c:pt>
                <c:pt idx="7">
                  <c:v>2775.1967995870373</c:v>
                </c:pt>
                <c:pt idx="8">
                  <c:v>2863.839449205333</c:v>
                </c:pt>
                <c:pt idx="9">
                  <c:v>1740.0937522888769</c:v>
                </c:pt>
                <c:pt idx="10">
                  <c:v>2751.970720720733</c:v>
                </c:pt>
                <c:pt idx="11">
                  <c:v>3470.3343738820381</c:v>
                </c:pt>
                <c:pt idx="12">
                  <c:v>3161.5280235305927</c:v>
                </c:pt>
                <c:pt idx="13">
                  <c:v>3571.2759798125926</c:v>
                </c:pt>
                <c:pt idx="14">
                  <c:v>4268.74182051357</c:v>
                </c:pt>
                <c:pt idx="15">
                  <c:v>2438.3161348186854</c:v>
                </c:pt>
                <c:pt idx="16">
                  <c:v>3709.1534042753442</c:v>
                </c:pt>
                <c:pt idx="17">
                  <c:v>4219.9159680556932</c:v>
                </c:pt>
              </c:numCache>
            </c:numRef>
          </c:yVal>
          <c:smooth val="0"/>
          <c:extLst>
            <c:ext xmlns:c16="http://schemas.microsoft.com/office/drawing/2014/chart" uri="{C3380CC4-5D6E-409C-BE32-E72D297353CC}">
              <c16:uniqueId val="{00000000-C929-564E-B1B2-9E151CA73F6F}"/>
            </c:ext>
          </c:extLst>
        </c:ser>
        <c:dLbls>
          <c:showLegendKey val="0"/>
          <c:showVal val="0"/>
          <c:showCatName val="0"/>
          <c:showSerName val="0"/>
          <c:showPercent val="0"/>
          <c:showBubbleSize val="0"/>
        </c:dLbls>
        <c:axId val="-2138420200"/>
        <c:axId val="-2130921864"/>
      </c:scatterChart>
      <c:valAx>
        <c:axId val="-2138420200"/>
        <c:scaling>
          <c:orientation val="minMax"/>
        </c:scaling>
        <c:delete val="0"/>
        <c:axPos val="b"/>
        <c:numFmt formatCode="General" sourceLinked="1"/>
        <c:majorTickMark val="out"/>
        <c:minorTickMark val="none"/>
        <c:tickLblPos val="nextTo"/>
        <c:crossAx val="-2130921864"/>
        <c:crosses val="autoZero"/>
        <c:crossBetween val="midCat"/>
      </c:valAx>
      <c:valAx>
        <c:axId val="-2130921864"/>
        <c:scaling>
          <c:orientation val="minMax"/>
        </c:scaling>
        <c:delete val="0"/>
        <c:axPos val="l"/>
        <c:majorGridlines/>
        <c:numFmt formatCode="0" sourceLinked="1"/>
        <c:majorTickMark val="out"/>
        <c:minorTickMark val="none"/>
        <c:tickLblPos val="nextTo"/>
        <c:crossAx val="-2138420200"/>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'Esc Water Samples 0.2 28'!$I$11:$I$28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Water Samples 0.2 28'!$H$11:$H$28</c:f>
              <c:numCache>
                <c:formatCode>0.000</c:formatCode>
                <c:ptCount val="18"/>
                <c:pt idx="0">
                  <c:v>0.4206264191020288</c:v>
                </c:pt>
                <c:pt idx="1">
                  <c:v>0.34724053321614295</c:v>
                </c:pt>
                <c:pt idx="2">
                  <c:v>0.32755163700285655</c:v>
                </c:pt>
                <c:pt idx="3">
                  <c:v>0.28101424595327035</c:v>
                </c:pt>
                <c:pt idx="4">
                  <c:v>0.30249304182231018</c:v>
                </c:pt>
                <c:pt idx="5">
                  <c:v>0.27027484801875046</c:v>
                </c:pt>
                <c:pt idx="6">
                  <c:v>0.24521625283820409</c:v>
                </c:pt>
                <c:pt idx="7">
                  <c:v>0.250585951805464</c:v>
                </c:pt>
                <c:pt idx="8">
                  <c:v>0.41704661979052232</c:v>
                </c:pt>
                <c:pt idx="9">
                  <c:v>0.22910715593642425</c:v>
                </c:pt>
                <c:pt idx="10">
                  <c:v>0.250585951805464</c:v>
                </c:pt>
                <c:pt idx="11">
                  <c:v>0.35797993115066284</c:v>
                </c:pt>
                <c:pt idx="12">
                  <c:v>0.26311524939573722</c:v>
                </c:pt>
                <c:pt idx="13">
                  <c:v>0.34366073390463636</c:v>
                </c:pt>
                <c:pt idx="14">
                  <c:v>0.41346682047901562</c:v>
                </c:pt>
                <c:pt idx="15">
                  <c:v>0.28638394492053032</c:v>
                </c:pt>
                <c:pt idx="16">
                  <c:v>0.30249304182231018</c:v>
                </c:pt>
                <c:pt idx="17">
                  <c:v>0.42599611806928883</c:v>
                </c:pt>
              </c:numCache>
            </c:numRef>
          </c:yVal>
          <c:smooth val="0"/>
          <c:extLst>
            <c:ext xmlns:c16="http://schemas.microsoft.com/office/drawing/2014/chart" uri="{C3380CC4-5D6E-409C-BE32-E72D297353CC}">
              <c16:uniqueId val="{00000001-660D-FA43-AB04-86E0B9D3EBDC}"/>
            </c:ext>
          </c:extLst>
        </c:ser>
        <c:dLbls>
          <c:showLegendKey val="0"/>
          <c:showVal val="0"/>
          <c:showCatName val="0"/>
          <c:showSerName val="0"/>
          <c:showPercent val="0"/>
          <c:showBubbleSize val="0"/>
        </c:dLbls>
        <c:axId val="-2140772760"/>
        <c:axId val="-2115466232"/>
      </c:scatterChart>
      <c:valAx>
        <c:axId val="-2140772760"/>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15466232"/>
        <c:crosses val="autoZero"/>
        <c:crossBetween val="midCat"/>
      </c:valAx>
      <c:valAx>
        <c:axId val="-2115466232"/>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40772760"/>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14534136350495E-2"/>
          <c:y val="2.2556390977443601E-2"/>
          <c:w val="0.77975032511702302"/>
          <c:h val="0.85583979634124696"/>
        </c:manualLayout>
      </c:layout>
      <c:scatterChart>
        <c:scatterStyle val="lineMarker"/>
        <c:varyColors val="0"/>
        <c:ser>
          <c:idx val="1"/>
          <c:order val="0"/>
          <c:spPr>
            <a:ln w="28575">
              <a:noFill/>
            </a:ln>
          </c:spPr>
          <c:xVal>
            <c:numRef>
              <c:f>'Esc TotalsMetabolites 1.0 28'!$G$6:$G$23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TotalsMetabolites 1.0 28'!$C$6:$C$23</c:f>
              <c:numCache>
                <c:formatCode>0</c:formatCode>
                <c:ptCount val="18"/>
                <c:pt idx="0">
                  <c:v>1308.1322717748501</c:v>
                </c:pt>
                <c:pt idx="1">
                  <c:v>2609.573329883367</c:v>
                </c:pt>
                <c:pt idx="2">
                  <c:v>1751.293976903733</c:v>
                </c:pt>
                <c:pt idx="3">
                  <c:v>2428.6481603554776</c:v>
                </c:pt>
                <c:pt idx="4">
                  <c:v>2702.3447434230534</c:v>
                </c:pt>
                <c:pt idx="5">
                  <c:v>2561.4081280607743</c:v>
                </c:pt>
                <c:pt idx="6">
                  <c:v>2994.4890591143126</c:v>
                </c:pt>
                <c:pt idx="7">
                  <c:v>2434.7376774286845</c:v>
                </c:pt>
                <c:pt idx="8">
                  <c:v>2280.2419143882494</c:v>
                </c:pt>
                <c:pt idx="9">
                  <c:v>2903.6149971109212</c:v>
                </c:pt>
                <c:pt idx="10">
                  <c:v>3057.4408405418808</c:v>
                </c:pt>
                <c:pt idx="11">
                  <c:v>4583.6193246301427</c:v>
                </c:pt>
                <c:pt idx="12">
                  <c:v>5561.7063848770977</c:v>
                </c:pt>
                <c:pt idx="13">
                  <c:v>5252.9663810151769</c:v>
                </c:pt>
                <c:pt idx="14">
                  <c:v>3228.8385946922531</c:v>
                </c:pt>
                <c:pt idx="15">
                  <c:v>6014.8496124105804</c:v>
                </c:pt>
                <c:pt idx="16">
                  <c:v>6403.4162965376854</c:v>
                </c:pt>
                <c:pt idx="17">
                  <c:v>9273.5643217029647</c:v>
                </c:pt>
              </c:numCache>
            </c:numRef>
          </c:yVal>
          <c:smooth val="0"/>
          <c:extLst>
            <c:ext xmlns:c16="http://schemas.microsoft.com/office/drawing/2014/chart" uri="{C3380CC4-5D6E-409C-BE32-E72D297353CC}">
              <c16:uniqueId val="{00000000-F3EF-014A-B0D9-B0D1F3CF7567}"/>
            </c:ext>
          </c:extLst>
        </c:ser>
        <c:dLbls>
          <c:showLegendKey val="0"/>
          <c:showVal val="0"/>
          <c:showCatName val="0"/>
          <c:showSerName val="0"/>
          <c:showPercent val="0"/>
          <c:showBubbleSize val="0"/>
        </c:dLbls>
        <c:axId val="-2138829112"/>
        <c:axId val="-2134727416"/>
      </c:scatterChart>
      <c:valAx>
        <c:axId val="-2138829112"/>
        <c:scaling>
          <c:orientation val="minMax"/>
        </c:scaling>
        <c:delete val="0"/>
        <c:axPos val="b"/>
        <c:numFmt formatCode="General" sourceLinked="1"/>
        <c:majorTickMark val="out"/>
        <c:minorTickMark val="none"/>
        <c:tickLblPos val="nextTo"/>
        <c:crossAx val="-2134727416"/>
        <c:crosses val="autoZero"/>
        <c:crossBetween val="midCat"/>
      </c:valAx>
      <c:valAx>
        <c:axId val="-2134727416"/>
        <c:scaling>
          <c:orientation val="minMax"/>
        </c:scaling>
        <c:delete val="0"/>
        <c:axPos val="l"/>
        <c:majorGridlines/>
        <c:numFmt formatCode="0" sourceLinked="1"/>
        <c:majorTickMark val="out"/>
        <c:minorTickMark val="none"/>
        <c:tickLblPos val="nextTo"/>
        <c:crossAx val="-21388291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4266252633913702"/>
                  <c:y val="-0.20887066200058299"/>
                </c:manualLayout>
              </c:layout>
              <c:numFmt formatCode="General" sourceLinked="0"/>
            </c:trendlineLbl>
          </c:trendline>
          <c:xVal>
            <c:numRef>
              <c:f>'Esc Water Samples 1.0 28'!$I$11:$I$28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Water Samples 1.0 28'!$H$11:$H$28</c:f>
              <c:numCache>
                <c:formatCode>0.000</c:formatCode>
                <c:ptCount val="18"/>
                <c:pt idx="0">
                  <c:v>0.4277860177250421</c:v>
                </c:pt>
                <c:pt idx="1">
                  <c:v>0.27922434629751702</c:v>
                </c:pt>
                <c:pt idx="2">
                  <c:v>0.23447685490368417</c:v>
                </c:pt>
                <c:pt idx="3">
                  <c:v>0.32576173734710312</c:v>
                </c:pt>
                <c:pt idx="4">
                  <c:v>0.24700615249395744</c:v>
                </c:pt>
                <c:pt idx="5">
                  <c:v>0.26311524939573722</c:v>
                </c:pt>
                <c:pt idx="6">
                  <c:v>0.21120815937889109</c:v>
                </c:pt>
                <c:pt idx="7">
                  <c:v>0.21836775800190433</c:v>
                </c:pt>
                <c:pt idx="8">
                  <c:v>0.22373745696916428</c:v>
                </c:pt>
                <c:pt idx="9">
                  <c:v>0.26311524939573722</c:v>
                </c:pt>
                <c:pt idx="10">
                  <c:v>0.23268695524793084</c:v>
                </c:pt>
                <c:pt idx="11">
                  <c:v>0.27027484801875046</c:v>
                </c:pt>
                <c:pt idx="12">
                  <c:v>0.22910715593642425</c:v>
                </c:pt>
                <c:pt idx="13">
                  <c:v>0.24342635318245073</c:v>
                </c:pt>
                <c:pt idx="14">
                  <c:v>0.22015765765765766</c:v>
                </c:pt>
                <c:pt idx="15">
                  <c:v>0.21478795869039771</c:v>
                </c:pt>
                <c:pt idx="16">
                  <c:v>0.20225866110012453</c:v>
                </c:pt>
                <c:pt idx="17">
                  <c:v>0.24342635318245073</c:v>
                </c:pt>
              </c:numCache>
            </c:numRef>
          </c:yVal>
          <c:smooth val="0"/>
          <c:extLst>
            <c:ext xmlns:c16="http://schemas.microsoft.com/office/drawing/2014/chart" uri="{C3380CC4-5D6E-409C-BE32-E72D297353CC}">
              <c16:uniqueId val="{00000001-D46E-F748-B98B-705BFA9AEAEC}"/>
            </c:ext>
          </c:extLst>
        </c:ser>
        <c:dLbls>
          <c:showLegendKey val="0"/>
          <c:showVal val="0"/>
          <c:showCatName val="0"/>
          <c:showSerName val="0"/>
          <c:showPercent val="0"/>
          <c:showBubbleSize val="0"/>
        </c:dLbls>
        <c:axId val="-2130784952"/>
        <c:axId val="-2116853032"/>
      </c:scatterChart>
      <c:valAx>
        <c:axId val="-2130784952"/>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16853032"/>
        <c:crosses val="autoZero"/>
        <c:crossBetween val="midCat"/>
      </c:valAx>
      <c:valAx>
        <c:axId val="-2116853032"/>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30784952"/>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14534136350495E-2"/>
          <c:y val="2.2556390977443601E-2"/>
          <c:w val="0.77975032511702302"/>
          <c:h val="0.85583979634124696"/>
        </c:manualLayout>
      </c:layout>
      <c:scatterChart>
        <c:scatterStyle val="lineMarker"/>
        <c:varyColors val="0"/>
        <c:ser>
          <c:idx val="1"/>
          <c:order val="0"/>
          <c:spPr>
            <a:ln w="28575">
              <a:noFill/>
            </a:ln>
          </c:spPr>
          <c:xVal>
            <c:numRef>
              <c:f>'Esc TotalsMetabolites 6.0 28'!$G$6:$G$23</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TotalsMetabolites 6.0 28'!$C$6:$C$23</c:f>
              <c:numCache>
                <c:formatCode>0</c:formatCode>
                <c:ptCount val="18"/>
                <c:pt idx="0">
                  <c:v>3020.2542420668078</c:v>
                </c:pt>
                <c:pt idx="1">
                  <c:v>3981.8816194963119</c:v>
                </c:pt>
                <c:pt idx="2">
                  <c:v>3144.9157426621764</c:v>
                </c:pt>
                <c:pt idx="3">
                  <c:v>6073.8121804635784</c:v>
                </c:pt>
                <c:pt idx="4">
                  <c:v>4608.6453425902755</c:v>
                </c:pt>
                <c:pt idx="5">
                  <c:v>3576.802062595229</c:v>
                </c:pt>
                <c:pt idx="6">
                  <c:v>5364.0458024575983</c:v>
                </c:pt>
                <c:pt idx="7">
                  <c:v>4066.5206490894811</c:v>
                </c:pt>
                <c:pt idx="8">
                  <c:v>12163.65448016819</c:v>
                </c:pt>
                <c:pt idx="9">
                  <c:v>8565.4996762148894</c:v>
                </c:pt>
                <c:pt idx="10">
                  <c:v>12081.016968267231</c:v>
                </c:pt>
                <c:pt idx="11">
                  <c:v>8491.7339748493705</c:v>
                </c:pt>
                <c:pt idx="12">
                  <c:v>9258.3036793302399</c:v>
                </c:pt>
                <c:pt idx="13">
                  <c:v>9761.7862004851504</c:v>
                </c:pt>
                <c:pt idx="14">
                  <c:v>12267.427060087599</c:v>
                </c:pt>
                <c:pt idx="15">
                  <c:v>11910.275176034362</c:v>
                </c:pt>
                <c:pt idx="16">
                  <c:v>13317.890560768503</c:v>
                </c:pt>
                <c:pt idx="17">
                  <c:v>14313.508046802928</c:v>
                </c:pt>
              </c:numCache>
            </c:numRef>
          </c:yVal>
          <c:smooth val="0"/>
          <c:extLst>
            <c:ext xmlns:c16="http://schemas.microsoft.com/office/drawing/2014/chart" uri="{C3380CC4-5D6E-409C-BE32-E72D297353CC}">
              <c16:uniqueId val="{00000000-9DBF-6D48-BF62-7A0FD348FB7D}"/>
            </c:ext>
          </c:extLst>
        </c:ser>
        <c:dLbls>
          <c:showLegendKey val="0"/>
          <c:showVal val="0"/>
          <c:showCatName val="0"/>
          <c:showSerName val="0"/>
          <c:showPercent val="0"/>
          <c:showBubbleSize val="0"/>
        </c:dLbls>
        <c:axId val="2119641832"/>
        <c:axId val="-2115277416"/>
      </c:scatterChart>
      <c:valAx>
        <c:axId val="2119641832"/>
        <c:scaling>
          <c:orientation val="minMax"/>
        </c:scaling>
        <c:delete val="0"/>
        <c:axPos val="b"/>
        <c:numFmt formatCode="General" sourceLinked="1"/>
        <c:majorTickMark val="out"/>
        <c:minorTickMark val="none"/>
        <c:tickLblPos val="nextTo"/>
        <c:crossAx val="-2115277416"/>
        <c:crosses val="autoZero"/>
        <c:crossBetween val="midCat"/>
      </c:valAx>
      <c:valAx>
        <c:axId val="-2115277416"/>
        <c:scaling>
          <c:orientation val="minMax"/>
        </c:scaling>
        <c:delete val="0"/>
        <c:axPos val="l"/>
        <c:majorGridlines/>
        <c:numFmt formatCode="0" sourceLinked="1"/>
        <c:majorTickMark val="out"/>
        <c:minorTickMark val="none"/>
        <c:tickLblPos val="nextTo"/>
        <c:crossAx val="211964183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1"/>
            <c:trendlineLbl>
              <c:layout>
                <c:manualLayout>
                  <c:x val="0.30500131233595801"/>
                  <c:y val="-0.211716243802858"/>
                </c:manualLayout>
              </c:layout>
              <c:numFmt formatCode="General" sourceLinked="0"/>
            </c:trendlineLbl>
          </c:trendline>
          <c:xVal>
            <c:numRef>
              <c:f>'Esc Water Samples 6.0 28'!$I$11:$I$28</c:f>
              <c:numCache>
                <c:formatCode>General</c:formatCode>
                <c:ptCount val="18"/>
                <c:pt idx="0">
                  <c:v>3</c:v>
                </c:pt>
                <c:pt idx="1">
                  <c:v>3</c:v>
                </c:pt>
                <c:pt idx="2">
                  <c:v>3</c:v>
                </c:pt>
                <c:pt idx="3">
                  <c:v>6</c:v>
                </c:pt>
                <c:pt idx="4">
                  <c:v>6</c:v>
                </c:pt>
                <c:pt idx="5">
                  <c:v>6</c:v>
                </c:pt>
                <c:pt idx="6">
                  <c:v>12</c:v>
                </c:pt>
                <c:pt idx="7">
                  <c:v>12</c:v>
                </c:pt>
                <c:pt idx="8">
                  <c:v>12</c:v>
                </c:pt>
                <c:pt idx="9">
                  <c:v>16</c:v>
                </c:pt>
                <c:pt idx="10">
                  <c:v>16</c:v>
                </c:pt>
                <c:pt idx="11">
                  <c:v>16</c:v>
                </c:pt>
                <c:pt idx="12">
                  <c:v>24</c:v>
                </c:pt>
                <c:pt idx="13">
                  <c:v>24</c:v>
                </c:pt>
                <c:pt idx="14">
                  <c:v>24</c:v>
                </c:pt>
                <c:pt idx="15">
                  <c:v>36</c:v>
                </c:pt>
                <c:pt idx="16">
                  <c:v>36</c:v>
                </c:pt>
                <c:pt idx="17">
                  <c:v>36</c:v>
                </c:pt>
              </c:numCache>
            </c:numRef>
          </c:xVal>
          <c:yVal>
            <c:numRef>
              <c:f>'Esc Water Samples 6.0 28'!$H$11:$H$28</c:f>
              <c:numCache>
                <c:formatCode>0.000</c:formatCode>
                <c:ptCount val="18"/>
                <c:pt idx="0">
                  <c:v>0.79175964955781486</c:v>
                </c:pt>
                <c:pt idx="1">
                  <c:v>0.53322588643689561</c:v>
                </c:pt>
                <c:pt idx="2">
                  <c:v>0.58170096702206786</c:v>
                </c:pt>
                <c:pt idx="3">
                  <c:v>0.63825522770476906</c:v>
                </c:pt>
                <c:pt idx="4">
                  <c:v>0.53322588643689561</c:v>
                </c:pt>
                <c:pt idx="5">
                  <c:v>0.56554260682701041</c:v>
                </c:pt>
                <c:pt idx="6">
                  <c:v>0.54130506653442445</c:v>
                </c:pt>
                <c:pt idx="7">
                  <c:v>0.4524340854616084</c:v>
                </c:pt>
                <c:pt idx="8">
                  <c:v>0.46051326555913713</c:v>
                </c:pt>
                <c:pt idx="9">
                  <c:v>0.63825522770476906</c:v>
                </c:pt>
                <c:pt idx="10">
                  <c:v>0.52514670633936689</c:v>
                </c:pt>
                <c:pt idx="11">
                  <c:v>0.53322588643689561</c:v>
                </c:pt>
                <c:pt idx="12">
                  <c:v>0.49282998594925198</c:v>
                </c:pt>
                <c:pt idx="13">
                  <c:v>0.46859244565666586</c:v>
                </c:pt>
                <c:pt idx="14">
                  <c:v>0.50898834614430943</c:v>
                </c:pt>
                <c:pt idx="15">
                  <c:v>0.47667162575419458</c:v>
                </c:pt>
                <c:pt idx="16">
                  <c:v>0.41203818497396477</c:v>
                </c:pt>
                <c:pt idx="17">
                  <c:v>0.54938424663195307</c:v>
                </c:pt>
              </c:numCache>
            </c:numRef>
          </c:yVal>
          <c:smooth val="0"/>
          <c:extLst>
            <c:ext xmlns:c16="http://schemas.microsoft.com/office/drawing/2014/chart" uri="{C3380CC4-5D6E-409C-BE32-E72D297353CC}">
              <c16:uniqueId val="{00000001-4BA6-C343-B17B-42A64E16656A}"/>
            </c:ext>
          </c:extLst>
        </c:ser>
        <c:dLbls>
          <c:showLegendKey val="0"/>
          <c:showVal val="0"/>
          <c:showCatName val="0"/>
          <c:showSerName val="0"/>
          <c:showPercent val="0"/>
          <c:showBubbleSize val="0"/>
        </c:dLbls>
        <c:axId val="-2115335624"/>
        <c:axId val="-2139999976"/>
      </c:scatterChart>
      <c:valAx>
        <c:axId val="-2115335624"/>
        <c:scaling>
          <c:orientation val="minMax"/>
        </c:scaling>
        <c:delete val="0"/>
        <c:axPos val="b"/>
        <c:title>
          <c:tx>
            <c:rich>
              <a:bodyPr/>
              <a:lstStyle/>
              <a:p>
                <a:pPr>
                  <a:defRPr/>
                </a:pPr>
                <a:r>
                  <a:rPr lang="en-US"/>
                  <a:t>Hour</a:t>
                </a:r>
              </a:p>
            </c:rich>
          </c:tx>
          <c:overlay val="0"/>
        </c:title>
        <c:numFmt formatCode="General" sourceLinked="1"/>
        <c:majorTickMark val="out"/>
        <c:minorTickMark val="none"/>
        <c:tickLblPos val="nextTo"/>
        <c:crossAx val="-2139999976"/>
        <c:crosses val="autoZero"/>
        <c:crossBetween val="midCat"/>
      </c:valAx>
      <c:valAx>
        <c:axId val="-2139999976"/>
        <c:scaling>
          <c:orientation val="minMax"/>
        </c:scaling>
        <c:delete val="0"/>
        <c:axPos val="l"/>
        <c:majorGridlines/>
        <c:title>
          <c:tx>
            <c:rich>
              <a:bodyPr rot="-5400000" vert="horz"/>
              <a:lstStyle/>
              <a:p>
                <a:pPr>
                  <a:defRPr/>
                </a:pPr>
                <a:r>
                  <a:rPr lang="en-US"/>
                  <a:t>ng/mL</a:t>
                </a:r>
              </a:p>
            </c:rich>
          </c:tx>
          <c:overlay val="0"/>
        </c:title>
        <c:numFmt formatCode="0.000" sourceLinked="1"/>
        <c:majorTickMark val="out"/>
        <c:minorTickMark val="none"/>
        <c:tickLblPos val="nextTo"/>
        <c:crossAx val="-2115335624"/>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0</xdr:rowOff>
    </xdr:from>
    <xdr:to>
      <xdr:col>18</xdr:col>
      <xdr:colOff>390525</xdr:colOff>
      <xdr:row>53</xdr:row>
      <xdr:rowOff>85725</xdr:rowOff>
    </xdr:to>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29F9ACEC-B250-4AFB-A42A-D8C4088160F8}"/>
                </a:ext>
              </a:extLst>
            </xdr:cNvPr>
            <xdr:cNvSpPr txBox="1"/>
          </xdr:nvSpPr>
          <xdr:spPr>
            <a:xfrm>
              <a:off x="104775" y="0"/>
              <a:ext cx="12630150" cy="1068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Metadata for:</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Effects of Global Climate</a:t>
              </a:r>
              <a:r>
                <a:rPr lang="en-GB" sz="1100" b="1" baseline="0">
                  <a:solidFill>
                    <a:schemeClr val="dk1"/>
                  </a:solidFill>
                  <a:effectLst/>
                  <a:latin typeface="+mn-lt"/>
                  <a:ea typeface="+mn-ea"/>
                  <a:cs typeface="+mn-cs"/>
                </a:rPr>
                <a:t> Change on Bioconcentration and Toxicokinetics of Permethrin in Pyrethroid-resistant </a:t>
              </a:r>
              <a:r>
                <a:rPr lang="en-GB" sz="1100" b="1" i="1" baseline="0">
                  <a:solidFill>
                    <a:schemeClr val="dk1"/>
                  </a:solidFill>
                  <a:effectLst/>
                  <a:latin typeface="+mn-lt"/>
                  <a:ea typeface="+mn-ea"/>
                  <a:cs typeface="+mn-cs"/>
                </a:rPr>
                <a:t>Hyalella azteca</a:t>
              </a:r>
              <a:endParaRPr lang="en-GB" sz="1100" i="1">
                <a:solidFill>
                  <a:schemeClr val="dk1"/>
                </a:solidFill>
                <a:effectLst/>
                <a:latin typeface="+mn-lt"/>
                <a:ea typeface="+mn-ea"/>
                <a:cs typeface="+mn-cs"/>
              </a:endParaRPr>
            </a:p>
            <a:p>
              <a:r>
                <a:rPr lang="en-GB" sz="1100" b="1">
                  <a:solidFill>
                    <a:schemeClr val="dk1"/>
                  </a:solidFill>
                  <a:effectLst/>
                  <a:latin typeface="+mn-lt"/>
                  <a:ea typeface="+mn-ea"/>
                  <a:cs typeface="+mn-cs"/>
                </a:rPr>
                <a:t>Authors</a:t>
              </a:r>
              <a:r>
                <a:rPr lang="en-GB" sz="1100" b="0">
                  <a:solidFill>
                    <a:schemeClr val="dk1"/>
                  </a:solidFill>
                  <a:effectLst/>
                  <a:latin typeface="+mn-lt"/>
                  <a:ea typeface="+mn-ea"/>
                  <a:cs typeface="+mn-cs"/>
                </a:rPr>
                <a:t>:</a:t>
              </a:r>
              <a:r>
                <a:rPr lang="en-GB" sz="1100" b="0" baseline="0">
                  <a:solidFill>
                    <a:schemeClr val="dk1"/>
                  </a:solidFill>
                  <a:effectLst/>
                  <a:latin typeface="+mn-lt"/>
                  <a:ea typeface="+mn-ea"/>
                  <a:cs typeface="+mn-cs"/>
                </a:rPr>
                <a:t> Andrew P. Derby, Kara E. Huff Hartz, Neil W. Fuller, Peter F. Landrum, John D. Reeve, Helen Poynton, Richard E. Connon, Michael J. Lydy</a:t>
              </a:r>
            </a:p>
            <a:p>
              <a:endParaRPr lang="en-GB"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Title: </a:t>
              </a:r>
              <a:r>
                <a:rPr lang="en-GB" sz="1100" b="0">
                  <a:solidFill>
                    <a:schemeClr val="dk1"/>
                  </a:solidFill>
                  <a:effectLst/>
                  <a:latin typeface="+mn-lt"/>
                  <a:ea typeface="+mn-ea"/>
                  <a:cs typeface="+mn-cs"/>
                </a:rPr>
                <a:t>The impact of temperature and salinity on permethrin bioconcentration of permethrin in </a:t>
              </a:r>
              <a:r>
                <a:rPr lang="en-GB" sz="1100" b="0" i="1">
                  <a:solidFill>
                    <a:schemeClr val="dk1"/>
                  </a:solidFill>
                  <a:effectLst/>
                  <a:latin typeface="+mn-lt"/>
                  <a:ea typeface="+mn-ea"/>
                  <a:cs typeface="+mn-cs"/>
                </a:rPr>
                <a:t>Hyalella azteca</a:t>
              </a:r>
              <a:r>
                <a:rPr lang="en-GB" sz="1100" b="0">
                  <a:solidFill>
                    <a:schemeClr val="dk1"/>
                  </a:solidFill>
                  <a:effectLst/>
                  <a:latin typeface="+mn-lt"/>
                  <a:ea typeface="+mn-ea"/>
                  <a:cs typeface="+mn-cs"/>
                </a:rPr>
                <a:t> and subsequent bioaccumulation in Inland silversides (</a:t>
              </a:r>
              <a:r>
                <a:rPr lang="en-GB" sz="1100" b="0" i="1">
                  <a:solidFill>
                    <a:schemeClr val="dk1"/>
                  </a:solidFill>
                  <a:effectLst/>
                  <a:latin typeface="+mn-lt"/>
                  <a:ea typeface="+mn-ea"/>
                  <a:cs typeface="+mn-cs"/>
                </a:rPr>
                <a:t>Menidia beryllina</a:t>
              </a:r>
              <a:r>
                <a:rPr lang="en-GB" sz="1100" b="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Abstract:</a:t>
              </a:r>
              <a:r>
                <a:rPr lang="en-GB" sz="1100" b="1" baseline="0">
                  <a:solidFill>
                    <a:schemeClr val="dk1"/>
                  </a:solidFill>
                  <a:effectLst/>
                  <a:latin typeface="+mn-lt"/>
                  <a:ea typeface="+mn-ea"/>
                  <a:cs typeface="+mn-cs"/>
                </a:rPr>
                <a:t> </a:t>
              </a:r>
              <a:r>
                <a:rPr lang="en-GB" sz="1100" b="0" baseline="0">
                  <a:solidFill>
                    <a:schemeClr val="dk1"/>
                  </a:solidFill>
                  <a:effectLst/>
                  <a:latin typeface="+mn-lt"/>
                  <a:ea typeface="+mn-ea"/>
                  <a:cs typeface="+mn-cs"/>
                </a:rPr>
                <a:t>Recent studies demonstrated pyrethroid resistance associated with voltage-gated sodium channel mutations in populations of the epibenthic amphipod, Hyalella azteca. Resistant populations were able to tolerate and bioconcentrate pyrethroids at concentrations significantly higher than toxic levels for non-resistant populations. In conjunction with elevated bioconcentration potential, environmental alteration particularly as a result of global climate change is anticipated to significantly alter abiotic parameters including temperature and salinity. These changes are expected to influence uptake and biotransformation of contaminants. Thus, the aims of the current study were a) to examine the bioconcentration potential of permethrin in two pyrethroid-resistant clades of H. azteca and b) assess the influence of temperature and salinity changes on toxicokinetic parameters. Two pyrethroid-resistant clades of H. azteca were exposed to 14C permethrin at three salinities (0.2, 1.0 and 6.0 practical salinity units (PSU)) and temperatures (18, 23 and 28°C). Tests were conducted for up to 36 hours and uptake, elimination and biotransformation rates were calculated. Both populations demonstrated bioconcentration factors (BCFs) between five and seven times greater than published data for non-resistant H. azteca, with significant differences between clades. Calculated BCF values were comparable to field populations of resistant H. azteca, emphasizing the potential for elevated pyrethroid bioconcentration in the natural environment and increased exposure for predators consuming pyrethroid-resistant aquatic invertebrates. Alterations to temperature and salinity had no statistically significant effect on uptake or parent compound half-life in either population, though biotransformation was elevated at higher temperatures in both populations. Salinity had a variable effect between the two populations, with lower BCF values at 1.0 PSU in clade D H. azteca and greater BCFs at 6.0 PSU in clade C H. azteca. This is the first study to demonstrate the potential for future climate scenarios to influence toxicokinetics in pyrethroid-resistant aquatic organisms.</a:t>
              </a:r>
            </a:p>
            <a:p>
              <a:pPr eaLnBrk="1" fontAlgn="auto" latinLnBrk="0" hangingPunct="1"/>
              <a:r>
                <a:rPr lang="en-GB" sz="1100" b="1" i="0" baseline="0">
                  <a:solidFill>
                    <a:schemeClr val="dk1"/>
                  </a:solidFill>
                  <a:effectLst/>
                  <a:latin typeface="+mn-lt"/>
                  <a:ea typeface="+mn-ea"/>
                  <a:cs typeface="+mn-cs"/>
                </a:rPr>
                <a:t>Date Created: </a:t>
              </a:r>
              <a:r>
                <a:rPr lang="en-GB" sz="1100" b="0" i="0" baseline="0">
                  <a:solidFill>
                    <a:schemeClr val="dk1"/>
                  </a:solidFill>
                  <a:effectLst/>
                  <a:latin typeface="+mn-lt"/>
                  <a:ea typeface="+mn-ea"/>
                  <a:cs typeface="+mn-cs"/>
                </a:rPr>
                <a:t>2020</a:t>
              </a:r>
              <a:endParaRPr lang="en-US">
                <a:effectLst/>
              </a:endParaRPr>
            </a:p>
            <a:p>
              <a:pPr eaLnBrk="1" fontAlgn="auto" latinLnBrk="0" hangingPunct="1"/>
              <a:r>
                <a:rPr lang="en-GB" sz="1100" b="1" i="0" baseline="0">
                  <a:solidFill>
                    <a:schemeClr val="dk1"/>
                  </a:solidFill>
                  <a:effectLst/>
                  <a:latin typeface="+mn-lt"/>
                  <a:ea typeface="+mn-ea"/>
                  <a:cs typeface="+mn-cs"/>
                </a:rPr>
                <a:t>File Format: </a:t>
              </a:r>
              <a:r>
                <a:rPr lang="en-GB" sz="1100" b="0" i="0" baseline="0">
                  <a:solidFill>
                    <a:schemeClr val="dk1"/>
                  </a:solidFill>
                  <a:effectLst/>
                  <a:latin typeface="+mn-lt"/>
                  <a:ea typeface="+mn-ea"/>
                  <a:cs typeface="+mn-cs"/>
                </a:rPr>
                <a:t>Excel (.xlsx)</a:t>
              </a:r>
              <a:endParaRPr lang="en-US">
                <a:effectLst/>
              </a:endParaRPr>
            </a:p>
            <a:p>
              <a:pPr eaLnBrk="1" fontAlgn="auto" latinLnBrk="0" hangingPunct="1"/>
              <a:r>
                <a:rPr lang="en-GB" sz="1100" b="1" i="0" baseline="0">
                  <a:solidFill>
                    <a:schemeClr val="dk1"/>
                  </a:solidFill>
                  <a:effectLst/>
                  <a:latin typeface="+mn-lt"/>
                  <a:ea typeface="+mn-ea"/>
                  <a:cs typeface="+mn-cs"/>
                </a:rPr>
                <a:t>Scientific Names: </a:t>
              </a:r>
              <a:r>
                <a:rPr lang="en-GB" sz="1100" b="0" i="1" baseline="0">
                  <a:solidFill>
                    <a:schemeClr val="dk1"/>
                  </a:solidFill>
                  <a:effectLst/>
                  <a:latin typeface="+mn-lt"/>
                  <a:ea typeface="+mn-ea"/>
                  <a:cs typeface="+mn-cs"/>
                </a:rPr>
                <a:t>Hyalella azteca, Menidia beryllina</a:t>
              </a:r>
              <a:endParaRPr lang="en-US">
                <a:effectLst/>
              </a:endParaRPr>
            </a:p>
            <a:p>
              <a:pPr eaLnBrk="1" fontAlgn="auto" latinLnBrk="0" hangingPunct="1"/>
              <a:r>
                <a:rPr lang="en-GB" sz="1100" b="1" i="0" baseline="0">
                  <a:solidFill>
                    <a:schemeClr val="dk1"/>
                  </a:solidFill>
                  <a:effectLst/>
                  <a:latin typeface="+mn-lt"/>
                  <a:ea typeface="+mn-ea"/>
                  <a:cs typeface="+mn-cs"/>
                </a:rPr>
                <a:t>Geographic Coverage: </a:t>
              </a:r>
              <a:r>
                <a:rPr lang="en-GB" sz="1100" b="0" i="0" baseline="0">
                  <a:solidFill>
                    <a:schemeClr val="dk1"/>
                  </a:solidFill>
                  <a:effectLst/>
                  <a:latin typeface="+mn-lt"/>
                  <a:ea typeface="+mn-ea"/>
                  <a:cs typeface="+mn-cs"/>
                </a:rPr>
                <a:t>na (lab study)</a:t>
              </a:r>
              <a:endParaRPr lang="en-US">
                <a:effectLst/>
              </a:endParaRPr>
            </a:p>
            <a:p>
              <a:pPr eaLnBrk="1" fontAlgn="auto" latinLnBrk="0" hangingPunct="1"/>
              <a:r>
                <a:rPr lang="en-GB" sz="1100" b="1" i="0" baseline="0">
                  <a:solidFill>
                    <a:schemeClr val="dk1"/>
                  </a:solidFill>
                  <a:effectLst/>
                  <a:latin typeface="+mn-lt"/>
                  <a:ea typeface="+mn-ea"/>
                  <a:cs typeface="+mn-cs"/>
                </a:rPr>
                <a:t>Related Content: </a:t>
              </a:r>
              <a:r>
                <a:rPr lang="en-GB" sz="1100" b="0" i="0" baseline="0">
                  <a:solidFill>
                    <a:schemeClr val="dk1"/>
                  </a:solidFill>
                  <a:effectLst/>
                  <a:latin typeface="+mn-lt"/>
                  <a:ea typeface="+mn-ea"/>
                  <a:cs typeface="+mn-cs"/>
                </a:rPr>
                <a:t>na (manuscript has been submitted containing this data, but not yet published).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rPr>
                <a:t>Keywords: </a:t>
              </a:r>
              <a:r>
                <a:rPr lang="en-GB" b="0">
                  <a:effectLst/>
                </a:rPr>
                <a:t>Toxicokinetics</a:t>
              </a:r>
              <a:r>
                <a:rPr lang="en-GB" b="0" i="1">
                  <a:effectLst/>
                </a:rPr>
                <a:t>; Hyalella azteca</a:t>
              </a:r>
              <a:r>
                <a:rPr lang="en-GB" b="0">
                  <a:effectLst/>
                </a:rPr>
                <a:t>; bioconcentration; permethrin; climate change</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File Name</a:t>
              </a:r>
              <a:r>
                <a:rPr lang="en-GB" sz="1100">
                  <a:solidFill>
                    <a:schemeClr val="dk1"/>
                  </a:solidFill>
                  <a:effectLst/>
                  <a:latin typeface="+mn-lt"/>
                  <a:ea typeface="+mn-ea"/>
                  <a:cs typeface="+mn-cs"/>
                </a:rPr>
                <a:t>: AD.Bioconcentration.Hyalella.Project.Data.NF06182021.xlsx	</a:t>
              </a:r>
            </a:p>
            <a:p>
              <a:r>
                <a:rPr lang="en-GB" sz="1100">
                  <a:solidFill>
                    <a:schemeClr val="dk1"/>
                  </a:solidFill>
                  <a:effectLst/>
                  <a:latin typeface="+mn-lt"/>
                  <a:ea typeface="+mn-ea"/>
                  <a:cs typeface="+mn-cs"/>
                </a:rPr>
                <a:t>Summary – This excel workbook contains data from toxicokinetic studies of two pyrethroid resistant clades of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(Mosher Slough &amp; Escondido Creek) exposed to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 under varying temperature (18, 23 and 28°C) and salinity (0.2, 1.0 &amp; 6.0 practical salinity units [psu]) conditions. Juvenile Mosher Slough &amp; Escondido Creek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were exposed to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 at a nominal concentration of 400 ng/L for 36 hours at the aforementioned temperatures and salinities. Individuals were removed after 3, 6, 12, 16, 24 and 36 hours and analysed for total permethrin and metabolites. The uptake, biotransformation and elimination of permethrin in the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was determined assuming a two-compartment model (water and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and first-order kinetics for uptake, biotransformation, elimination of parent permethrin and biotransformation products (metabolites). Further methodological details can be found in Derby et al., (2020, In Press). </a:t>
              </a:r>
            </a:p>
            <a:p>
              <a:pPr lvl="0"/>
              <a:r>
                <a:rPr lang="en-GB" sz="1100" b="1">
                  <a:solidFill>
                    <a:schemeClr val="dk1"/>
                  </a:solidFill>
                  <a:effectLst/>
                  <a:latin typeface="+mn-lt"/>
                  <a:ea typeface="+mn-ea"/>
                  <a:cs typeface="+mn-cs"/>
                </a:rPr>
                <a:t>Sheet Name: Toxicokinetic Parameter Summary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a summary of assessed toxicokinetic parameters for both populations of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at each temperature and salinity, including: </a:t>
              </a:r>
            </a:p>
            <a:p>
              <a:pPr lvl="0"/>
              <a:r>
                <a:rPr lang="en-GB" sz="1100">
                  <a:solidFill>
                    <a:schemeClr val="dk1"/>
                  </a:solidFill>
                  <a:effectLst/>
                  <a:latin typeface="+mn-lt"/>
                  <a:ea typeface="+mn-ea"/>
                  <a:cs typeface="+mn-cs"/>
                </a:rPr>
                <a:t>Uptake, ku (ku = uptake clearance coefficient, mL g-1 organism h-1),</a:t>
              </a:r>
            </a:p>
            <a:p>
              <a:pPr lvl="0"/>
              <a:r>
                <a:rPr lang="en-GB" sz="1100">
                  <a:solidFill>
                    <a:schemeClr val="dk1"/>
                  </a:solidFill>
                  <a:effectLst/>
                  <a:latin typeface="+mn-lt"/>
                  <a:ea typeface="+mn-ea"/>
                  <a:cs typeface="+mn-cs"/>
                </a:rPr>
                <a:t>Elimination of parent compound, kep (kep = parent compound elimination rate constant (h-1))</a:t>
              </a:r>
            </a:p>
            <a:p>
              <a:pPr lvl="0"/>
              <a:r>
                <a:rPr lang="en-GB" sz="1100">
                  <a:solidFill>
                    <a:schemeClr val="dk1"/>
                  </a:solidFill>
                  <a:effectLst/>
                  <a:latin typeface="+mn-lt"/>
                  <a:ea typeface="+mn-ea"/>
                  <a:cs typeface="+mn-cs"/>
                </a:rPr>
                <a:t>Metabolite formation, km (km = metabolite formation constant (h-1)),</a:t>
              </a:r>
            </a:p>
            <a:p>
              <a:pPr lvl="0"/>
              <a:r>
                <a:rPr lang="en-GB" sz="1100">
                  <a:solidFill>
                    <a:schemeClr val="dk1"/>
                  </a:solidFill>
                  <a:effectLst/>
                  <a:latin typeface="+mn-lt"/>
                  <a:ea typeface="+mn-ea"/>
                  <a:cs typeface="+mn-cs"/>
                </a:rPr>
                <a:t>Metabolite elimination, kem (kem = metabolite elimination rate constant (h-1), </a:t>
              </a:r>
            </a:p>
            <a:p>
              <a:pPr lvl="0"/>
              <a:r>
                <a:rPr lang="en-GB" sz="1100">
                  <a:solidFill>
                    <a:schemeClr val="dk1"/>
                  </a:solidFill>
                  <a:effectLst/>
                  <a:latin typeface="+mn-lt"/>
                  <a:ea typeface="+mn-ea"/>
                  <a:cs typeface="+mn-cs"/>
                </a:rPr>
                <a:t>Bioconcentration factor (BCF = </a:t>
              </a:r>
              <a14:m>
                <m:oMath xmlns:m="http://schemas.openxmlformats.org/officeDocument/2006/math">
                  <m:f>
                    <m:fPr>
                      <m:ctrlPr>
                        <a:rPr lang="en-GB" sz="1100" i="1">
                          <a:solidFill>
                            <a:schemeClr val="dk1"/>
                          </a:solidFill>
                          <a:effectLst/>
                          <a:latin typeface="Cambria Math" panose="02040503050406030204" pitchFamily="18" charset="0"/>
                          <a:ea typeface="+mn-ea"/>
                          <a:cs typeface="+mn-cs"/>
                        </a:rPr>
                      </m:ctrlPr>
                    </m:fPr>
                    <m:num>
                      <m:sSub>
                        <m:sSubPr>
                          <m:ctrlPr>
                            <a:rPr lang="en-GB" sz="1100" i="1">
                              <a:solidFill>
                                <a:schemeClr val="dk1"/>
                              </a:solidFill>
                              <a:effectLst/>
                              <a:latin typeface="Cambria Math" panose="02040503050406030204" pitchFamily="18" charset="0"/>
                              <a:ea typeface="+mn-ea"/>
                              <a:cs typeface="+mn-cs"/>
                            </a:rPr>
                          </m:ctrlPr>
                        </m:sSubPr>
                        <m:e>
                          <m:r>
                            <m:rPr>
                              <m:sty m:val="p"/>
                            </m:rPr>
                            <a:rPr lang="en-GB" sz="1100">
                              <a:solidFill>
                                <a:schemeClr val="dk1"/>
                              </a:solidFill>
                              <a:effectLst/>
                              <a:latin typeface="Cambria Math" panose="02040503050406030204" pitchFamily="18" charset="0"/>
                              <a:ea typeface="+mn-ea"/>
                              <a:cs typeface="+mn-cs"/>
                            </a:rPr>
                            <m:t>k</m:t>
                          </m:r>
                        </m:e>
                        <m:sub>
                          <m:r>
                            <m:rPr>
                              <m:sty m:val="p"/>
                            </m:rPr>
                            <a:rPr lang="en-GB" sz="1100">
                              <a:solidFill>
                                <a:schemeClr val="dk1"/>
                              </a:solidFill>
                              <a:effectLst/>
                              <a:latin typeface="Cambria Math" panose="02040503050406030204" pitchFamily="18" charset="0"/>
                              <a:ea typeface="+mn-ea"/>
                              <a:cs typeface="+mn-cs"/>
                            </a:rPr>
                            <m:t>u</m:t>
                          </m:r>
                        </m:sub>
                      </m:sSub>
                    </m:num>
                    <m:den>
                      <m:r>
                        <a:rPr lang="en-GB" sz="1100">
                          <a:solidFill>
                            <a:schemeClr val="dk1"/>
                          </a:solidFill>
                          <a:effectLst/>
                          <a:latin typeface="Cambria Math" panose="02040503050406030204" pitchFamily="18" charset="0"/>
                          <a:ea typeface="+mn-ea"/>
                          <a:cs typeface="+mn-cs"/>
                        </a:rPr>
                        <m:t>(</m:t>
                      </m:r>
                      <m:sSub>
                        <m:sSubPr>
                          <m:ctrlPr>
                            <a:rPr lang="en-GB" sz="1100" i="1">
                              <a:solidFill>
                                <a:schemeClr val="dk1"/>
                              </a:solidFill>
                              <a:effectLst/>
                              <a:latin typeface="Cambria Math" panose="02040503050406030204" pitchFamily="18" charset="0"/>
                              <a:ea typeface="+mn-ea"/>
                              <a:cs typeface="+mn-cs"/>
                            </a:rPr>
                          </m:ctrlPr>
                        </m:sSubPr>
                        <m:e>
                          <m:r>
                            <m:rPr>
                              <m:sty m:val="p"/>
                            </m:rPr>
                            <a:rPr lang="en-GB" sz="1100">
                              <a:solidFill>
                                <a:schemeClr val="dk1"/>
                              </a:solidFill>
                              <a:effectLst/>
                              <a:latin typeface="Cambria Math" panose="02040503050406030204" pitchFamily="18" charset="0"/>
                              <a:ea typeface="+mn-ea"/>
                              <a:cs typeface="+mn-cs"/>
                            </a:rPr>
                            <m:t>k</m:t>
                          </m:r>
                        </m:e>
                        <m:sub>
                          <m:r>
                            <m:rPr>
                              <m:sty m:val="p"/>
                            </m:rPr>
                            <a:rPr lang="en-GB" sz="1100">
                              <a:solidFill>
                                <a:schemeClr val="dk1"/>
                              </a:solidFill>
                              <a:effectLst/>
                              <a:latin typeface="Cambria Math" panose="02040503050406030204" pitchFamily="18" charset="0"/>
                              <a:ea typeface="+mn-ea"/>
                              <a:cs typeface="+mn-cs"/>
                            </a:rPr>
                            <m:t>ep</m:t>
                          </m:r>
                        </m:sub>
                      </m:sSub>
                      <m:r>
                        <a:rPr lang="en-GB" sz="1100">
                          <a:solidFill>
                            <a:schemeClr val="dk1"/>
                          </a:solidFill>
                          <a:effectLst/>
                          <a:latin typeface="Cambria Math" panose="02040503050406030204" pitchFamily="18" charset="0"/>
                          <a:ea typeface="+mn-ea"/>
                          <a:cs typeface="+mn-cs"/>
                        </a:rPr>
                        <m:t>+</m:t>
                      </m:r>
                      <m:sSub>
                        <m:sSubPr>
                          <m:ctrlPr>
                            <a:rPr lang="en-GB" sz="1100" i="1">
                              <a:solidFill>
                                <a:schemeClr val="dk1"/>
                              </a:solidFill>
                              <a:effectLst/>
                              <a:latin typeface="Cambria Math" panose="02040503050406030204" pitchFamily="18" charset="0"/>
                              <a:ea typeface="+mn-ea"/>
                              <a:cs typeface="+mn-cs"/>
                            </a:rPr>
                          </m:ctrlPr>
                        </m:sSubPr>
                        <m:e>
                          <m:r>
                            <m:rPr>
                              <m:sty m:val="p"/>
                            </m:rPr>
                            <a:rPr lang="en-GB" sz="1100">
                              <a:solidFill>
                                <a:schemeClr val="dk1"/>
                              </a:solidFill>
                              <a:effectLst/>
                              <a:latin typeface="Cambria Math" panose="02040503050406030204" pitchFamily="18" charset="0"/>
                              <a:ea typeface="+mn-ea"/>
                              <a:cs typeface="+mn-cs"/>
                            </a:rPr>
                            <m:t>k</m:t>
                          </m:r>
                        </m:e>
                        <m:sub>
                          <m:r>
                            <m:rPr>
                              <m:sty m:val="p"/>
                            </m:rPr>
                            <a:rPr lang="en-GB" sz="1100">
                              <a:solidFill>
                                <a:schemeClr val="dk1"/>
                              </a:solidFill>
                              <a:effectLst/>
                              <a:latin typeface="Cambria Math" panose="02040503050406030204" pitchFamily="18" charset="0"/>
                              <a:ea typeface="+mn-ea"/>
                              <a:cs typeface="+mn-cs"/>
                            </a:rPr>
                            <m:t>m</m:t>
                          </m:r>
                        </m:sub>
                      </m:sSub>
                      <m:r>
                        <a:rPr lang="en-GB" sz="1100">
                          <a:solidFill>
                            <a:schemeClr val="dk1"/>
                          </a:solidFill>
                          <a:effectLst/>
                          <a:latin typeface="Cambria Math" panose="02040503050406030204" pitchFamily="18" charset="0"/>
                          <a:ea typeface="+mn-ea"/>
                          <a:cs typeface="+mn-cs"/>
                        </a:rPr>
                        <m:t>)</m:t>
                      </m:r>
                    </m:den>
                  </m:f>
                </m:oMath>
              </a14:m>
              <a:r>
                <a:rPr lang="en-GB" sz="1100">
                  <a:solidFill>
                    <a:schemeClr val="dk1"/>
                  </a:solidFill>
                  <a:effectLst/>
                  <a:latin typeface="+mn-lt"/>
                  <a:ea typeface="+mn-ea"/>
                  <a:cs typeface="+mn-cs"/>
                </a:rPr>
                <a:t>) </a:t>
              </a:r>
            </a:p>
            <a:p>
              <a:pPr lvl="0"/>
              <a:r>
                <a:rPr lang="en-GB" sz="1100">
                  <a:solidFill>
                    <a:schemeClr val="dk1"/>
                  </a:solidFill>
                  <a:effectLst/>
                  <a:latin typeface="+mn-lt"/>
                  <a:ea typeface="+mn-ea"/>
                  <a:cs typeface="+mn-cs"/>
                </a:rPr>
                <a:t>Biological half-life of the parent compound (t1/2, </a:t>
              </a:r>
              <a14:m>
                <m:oMath xmlns:m="http://schemas.openxmlformats.org/officeDocument/2006/math">
                  <m:r>
                    <a:rPr lang="en-GB" sz="1100">
                      <a:solidFill>
                        <a:schemeClr val="dk1"/>
                      </a:solidFill>
                      <a:effectLst/>
                      <a:latin typeface="Cambria Math" panose="02040503050406030204" pitchFamily="18" charset="0"/>
                      <a:ea typeface="+mn-ea"/>
                      <a:cs typeface="+mn-cs"/>
                    </a:rPr>
                    <m:t>=</m:t>
                  </m:r>
                  <m:f>
                    <m:fPr>
                      <m:ctrlPr>
                        <a:rPr lang="en-GB" sz="1100" i="1">
                          <a:solidFill>
                            <a:schemeClr val="dk1"/>
                          </a:solidFill>
                          <a:effectLst/>
                          <a:latin typeface="Cambria Math" panose="02040503050406030204" pitchFamily="18" charset="0"/>
                          <a:ea typeface="+mn-ea"/>
                          <a:cs typeface="+mn-cs"/>
                        </a:rPr>
                      </m:ctrlPr>
                    </m:fPr>
                    <m:num>
                      <m:r>
                        <a:rPr lang="en-GB" sz="1100">
                          <a:solidFill>
                            <a:schemeClr val="dk1"/>
                          </a:solidFill>
                          <a:effectLst/>
                          <a:latin typeface="Cambria Math" panose="02040503050406030204" pitchFamily="18" charset="0"/>
                          <a:ea typeface="+mn-ea"/>
                          <a:cs typeface="+mn-cs"/>
                        </a:rPr>
                        <m:t>0.693</m:t>
                      </m:r>
                    </m:num>
                    <m:den>
                      <m:sSub>
                        <m:sSubPr>
                          <m:ctrlPr>
                            <a:rPr lang="en-GB" sz="1100" i="1">
                              <a:solidFill>
                                <a:schemeClr val="dk1"/>
                              </a:solidFill>
                              <a:effectLst/>
                              <a:latin typeface="Cambria Math" panose="02040503050406030204" pitchFamily="18" charset="0"/>
                              <a:ea typeface="+mn-ea"/>
                              <a:cs typeface="+mn-cs"/>
                            </a:rPr>
                          </m:ctrlPr>
                        </m:sSubPr>
                        <m:e>
                          <m:r>
                            <a:rPr lang="en-GB" sz="1100">
                              <a:solidFill>
                                <a:schemeClr val="dk1"/>
                              </a:solidFill>
                              <a:effectLst/>
                              <a:latin typeface="Cambria Math" panose="02040503050406030204" pitchFamily="18" charset="0"/>
                              <a:ea typeface="+mn-ea"/>
                              <a:cs typeface="+mn-cs"/>
                            </a:rPr>
                            <m:t>(</m:t>
                          </m:r>
                          <m:r>
                            <m:rPr>
                              <m:sty m:val="p"/>
                            </m:rPr>
                            <a:rPr lang="en-GB" sz="1100">
                              <a:solidFill>
                                <a:schemeClr val="dk1"/>
                              </a:solidFill>
                              <a:effectLst/>
                              <a:latin typeface="Cambria Math" panose="02040503050406030204" pitchFamily="18" charset="0"/>
                              <a:ea typeface="+mn-ea"/>
                              <a:cs typeface="+mn-cs"/>
                            </a:rPr>
                            <m:t>k</m:t>
                          </m:r>
                        </m:e>
                        <m:sub>
                          <m:r>
                            <m:rPr>
                              <m:sty m:val="p"/>
                            </m:rPr>
                            <a:rPr lang="en-GB" sz="1100">
                              <a:solidFill>
                                <a:schemeClr val="dk1"/>
                              </a:solidFill>
                              <a:effectLst/>
                              <a:latin typeface="Cambria Math" panose="02040503050406030204" pitchFamily="18" charset="0"/>
                              <a:ea typeface="+mn-ea"/>
                              <a:cs typeface="+mn-cs"/>
                            </a:rPr>
                            <m:t>ep</m:t>
                          </m:r>
                        </m:sub>
                      </m:sSub>
                      <m:r>
                        <a:rPr lang="en-GB" sz="1100">
                          <a:solidFill>
                            <a:schemeClr val="dk1"/>
                          </a:solidFill>
                          <a:effectLst/>
                          <a:latin typeface="Cambria Math" panose="02040503050406030204" pitchFamily="18" charset="0"/>
                          <a:ea typeface="+mn-ea"/>
                          <a:cs typeface="+mn-cs"/>
                        </a:rPr>
                        <m:t>+</m:t>
                      </m:r>
                      <m:sSub>
                        <m:sSubPr>
                          <m:ctrlPr>
                            <a:rPr lang="en-GB" sz="1100" i="1">
                              <a:solidFill>
                                <a:schemeClr val="dk1"/>
                              </a:solidFill>
                              <a:effectLst/>
                              <a:latin typeface="Cambria Math" panose="02040503050406030204" pitchFamily="18" charset="0"/>
                              <a:ea typeface="+mn-ea"/>
                              <a:cs typeface="+mn-cs"/>
                            </a:rPr>
                          </m:ctrlPr>
                        </m:sSubPr>
                        <m:e>
                          <m:r>
                            <m:rPr>
                              <m:sty m:val="p"/>
                            </m:rPr>
                            <a:rPr lang="en-GB" sz="1100">
                              <a:solidFill>
                                <a:schemeClr val="dk1"/>
                              </a:solidFill>
                              <a:effectLst/>
                              <a:latin typeface="Cambria Math" panose="02040503050406030204" pitchFamily="18" charset="0"/>
                              <a:ea typeface="+mn-ea"/>
                              <a:cs typeface="+mn-cs"/>
                            </a:rPr>
                            <m:t>k</m:t>
                          </m:r>
                        </m:e>
                        <m:sub>
                          <m:r>
                            <m:rPr>
                              <m:sty m:val="p"/>
                            </m:rPr>
                            <a:rPr lang="en-GB" sz="1100">
                              <a:solidFill>
                                <a:schemeClr val="dk1"/>
                              </a:solidFill>
                              <a:effectLst/>
                              <a:latin typeface="Cambria Math" panose="02040503050406030204" pitchFamily="18" charset="0"/>
                              <a:ea typeface="+mn-ea"/>
                              <a:cs typeface="+mn-cs"/>
                            </a:rPr>
                            <m:t>m</m:t>
                          </m:r>
                        </m:sub>
                      </m:sSub>
                      <m:r>
                        <a:rPr lang="en-GB" sz="1100">
                          <a:solidFill>
                            <a:schemeClr val="dk1"/>
                          </a:solidFill>
                          <a:effectLst/>
                          <a:latin typeface="Cambria Math" panose="02040503050406030204" pitchFamily="18" charset="0"/>
                          <a:ea typeface="+mn-ea"/>
                          <a:cs typeface="+mn-cs"/>
                        </a:rPr>
                        <m:t>)</m:t>
                      </m:r>
                    </m:den>
                  </m:f>
                </m:oMath>
              </a14:m>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Data is presented with standard deviations in parentheses (SD) across all replicates, as well as model fit for individual toxicokinetic models. </a:t>
              </a:r>
            </a:p>
            <a:p>
              <a:pPr lvl="0"/>
              <a:r>
                <a:rPr lang="en-GB" sz="1100" b="1">
                  <a:solidFill>
                    <a:schemeClr val="dk1"/>
                  </a:solidFill>
                  <a:effectLst/>
                  <a:latin typeface="+mn-lt"/>
                  <a:ea typeface="+mn-ea"/>
                  <a:cs typeface="+mn-cs"/>
                </a:rPr>
                <a:t>Sheet Name: Mosher Masses 0.2 18</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weights of juvenile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from Mosher Resistant toxicokinetic studies at each timepoint at 0.2 psu and 18°C. All weights are on a dry-weight basis and measured using a Mettler-Toledo XS105 balance.</a:t>
              </a:r>
            </a:p>
            <a:p>
              <a:pPr lvl="0"/>
              <a:r>
                <a:rPr lang="en-GB" sz="1100" b="1">
                  <a:solidFill>
                    <a:schemeClr val="dk1"/>
                  </a:solidFill>
                  <a:effectLst/>
                  <a:latin typeface="+mn-lt"/>
                  <a:ea typeface="+mn-ea"/>
                  <a:cs typeface="+mn-cs"/>
                </a:rPr>
                <a:t>Sheet Name: Mosher TotalsMetabolites 0.2 18</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the total amounts of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 permethrin in three replicates of Mosher resistant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collected at each timepoint of the study, at 0.2 psu and 18°C. Measurements were conducted using liquid scintillation counting (LSC). Samples are shown on a wet weight basis, abbreviated to ‘ww’ within this sheet. Relative standard deviations are shown, defined as the standard deviation divided by the average of the samples. ‘dpm’ refers to disintegrations per minute as measured using LSC. Sample listed as ‘blank’ contains only scintillation cocktail and was used to account for background radiation. QA/QC before and after samples are acetone rinses of the ultrasonicator used to homogenize</a:t>
              </a:r>
              <a:r>
                <a:rPr lang="en-GB" sz="1100" i="1">
                  <a:solidFill>
                    <a:schemeClr val="dk1"/>
                  </a:solidFill>
                  <a:effectLst/>
                  <a:latin typeface="+mn-lt"/>
                  <a:ea typeface="+mn-ea"/>
                  <a:cs typeface="+mn-cs"/>
                </a:rPr>
                <a:t> H.azteca</a:t>
              </a:r>
              <a:r>
                <a:rPr lang="en-GB" sz="1100">
                  <a:solidFill>
                    <a:schemeClr val="dk1"/>
                  </a:solidFill>
                  <a:effectLst/>
                  <a:latin typeface="+mn-lt"/>
                  <a:ea typeface="+mn-ea"/>
                  <a:cs typeface="+mn-cs"/>
                </a:rPr>
                <a:t> samples, with the sample listed as ‘before’ taken prior to analysing any samples and ‘after’ following sonication of radioactive samples. Data is shown relative to the cocktail blank. Fractions shown are permethrin biotransformation products (fractions 1, 2,3 and 5) as well as parent permethrin (fraction 4) isolated using high performance liquid chromatography (HPLC). Further methodological details are available in Derby et al., (In Press). </a:t>
              </a:r>
            </a:p>
            <a:p>
              <a:pPr lvl="0"/>
              <a:r>
                <a:rPr lang="en-GB" sz="1100" b="1">
                  <a:solidFill>
                    <a:schemeClr val="dk1"/>
                  </a:solidFill>
                  <a:effectLst/>
                  <a:latin typeface="+mn-lt"/>
                  <a:ea typeface="+mn-ea"/>
                  <a:cs typeface="+mn-cs"/>
                </a:rPr>
                <a:t>Sheet Name: Mosher WaterSamples 0.2 18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data from water samples collected during Mosher resistant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0.2 psu, 18°C toxicokinetic studies as described above. 1 mL samples were taken in triplicate at various timepoints prior to and during the experiment. Water samples listed as ‘D0’ were taken prior to addition of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in singular, and those listed as ‘3, 6…’ were taken during the experiment following addition of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The relationship between water concentrations and time is shown. </a:t>
              </a:r>
            </a:p>
            <a:p>
              <a:r>
                <a:rPr lang="en-GB" sz="1100" b="1">
                  <a:solidFill>
                    <a:schemeClr val="dk1"/>
                  </a:solidFill>
                  <a:effectLst/>
                  <a:latin typeface="+mn-lt"/>
                  <a:ea typeface="+mn-ea"/>
                  <a:cs typeface="+mn-cs"/>
                </a:rPr>
                <a:t>Subsequent data sheets follow the same format for different temperatures, salinities and populations. For example, Mosher 6.0 23 is the Mosher Resistant population assessed at 6.0 psu and 23°C, and Esc 1.0 18 is the Escondido Creek population assessed at 1.0 psu and 18°C. </a:t>
              </a:r>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Sheet Name: </a:t>
              </a:r>
              <a:r>
                <a:rPr lang="en-GB" sz="1100" b="1" i="1">
                  <a:solidFill>
                    <a:schemeClr val="dk1"/>
                  </a:solidFill>
                  <a:effectLst/>
                  <a:latin typeface="+mn-lt"/>
                  <a:ea typeface="+mn-ea"/>
                  <a:cs typeface="+mn-cs"/>
                </a:rPr>
                <a:t>Hyalella </a:t>
              </a:r>
              <a:r>
                <a:rPr lang="en-GB" sz="1100" b="1">
                  <a:solidFill>
                    <a:schemeClr val="dk1"/>
                  </a:solidFill>
                  <a:effectLst/>
                  <a:latin typeface="+mn-lt"/>
                  <a:ea typeface="+mn-ea"/>
                  <a:cs typeface="+mn-cs"/>
                </a:rPr>
                <a:t>Extraction Efficiency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data from an experiment to determine the efficiency of the extraction methods used. For the total extraction efficiency, 10 µL of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 stock was added directly to a scintillation vial containing 5 mL scintillation cocktail. Concurrently, 10 µL of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 stock was added to 15 juvenile Mosher resistant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and scintillation cocktail added. Both samples were ultrasonicated at 30% amplitude for 10s in triplicate, dark acclimated for 24 hrs and analysed using LSC. The % extraction efficiency was calculated as: (dpm amount in stock/dpm amount in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)*100. For the metabolite extraction efficiency, two replicates of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a:t>
              </a:r>
              <a:r>
                <a:rPr lang="en-GB" sz="1100" baseline="30000">
                  <a:solidFill>
                    <a:schemeClr val="dk1"/>
                  </a:solidFill>
                  <a:effectLst/>
                  <a:latin typeface="+mn-lt"/>
                  <a:ea typeface="+mn-ea"/>
                  <a:cs typeface="+mn-cs"/>
                </a:rPr>
                <a:t> </a:t>
              </a:r>
              <a:r>
                <a:rPr lang="en-GB" sz="1100">
                  <a:solidFill>
                    <a:schemeClr val="dk1"/>
                  </a:solidFill>
                  <a:effectLst/>
                  <a:latin typeface="+mn-lt"/>
                  <a:ea typeface="+mn-ea"/>
                  <a:cs typeface="+mn-cs"/>
                </a:rPr>
                <a:t>dosed juvenile Mosher resistant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of known activity concentration (at ~ 1 ng per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were assessed for both total permethrin and metabolites. Extraction efficiency was calculated as: (amount of parent permethrin/sum of metabolites and parent)*100. </a:t>
              </a:r>
            </a:p>
            <a:p>
              <a:endParaRPr lang="en-GB" sz="1100"/>
            </a:p>
          </xdr:txBody>
        </xdr:sp>
      </mc:Choice>
      <mc:Fallback>
        <xdr:sp macro="" textlink="">
          <xdr:nvSpPr>
            <xdr:cNvPr id="2" name="TextBox 1">
              <a:extLst>
                <a:ext uri="{FF2B5EF4-FFF2-40B4-BE49-F238E27FC236}">
                  <a16:creationId xmlns:a16="http://schemas.microsoft.com/office/drawing/2014/main" id="{29F9ACEC-B250-4AFB-A42A-D8C4088160F8}"/>
                </a:ext>
              </a:extLst>
            </xdr:cNvPr>
            <xdr:cNvSpPr txBox="1"/>
          </xdr:nvSpPr>
          <xdr:spPr>
            <a:xfrm>
              <a:off x="104775" y="0"/>
              <a:ext cx="12630150" cy="1068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Metadata for:</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Effects of Global Climate</a:t>
              </a:r>
              <a:r>
                <a:rPr lang="en-GB" sz="1100" b="1" baseline="0">
                  <a:solidFill>
                    <a:schemeClr val="dk1"/>
                  </a:solidFill>
                  <a:effectLst/>
                  <a:latin typeface="+mn-lt"/>
                  <a:ea typeface="+mn-ea"/>
                  <a:cs typeface="+mn-cs"/>
                </a:rPr>
                <a:t> Change on Bioconcentration and Toxicokinetics of Permethrin in Pyrethroid-resistant </a:t>
              </a:r>
              <a:r>
                <a:rPr lang="en-GB" sz="1100" b="1" i="1" baseline="0">
                  <a:solidFill>
                    <a:schemeClr val="dk1"/>
                  </a:solidFill>
                  <a:effectLst/>
                  <a:latin typeface="+mn-lt"/>
                  <a:ea typeface="+mn-ea"/>
                  <a:cs typeface="+mn-cs"/>
                </a:rPr>
                <a:t>Hyalella azteca</a:t>
              </a:r>
              <a:endParaRPr lang="en-GB" sz="1100" i="1">
                <a:solidFill>
                  <a:schemeClr val="dk1"/>
                </a:solidFill>
                <a:effectLst/>
                <a:latin typeface="+mn-lt"/>
                <a:ea typeface="+mn-ea"/>
                <a:cs typeface="+mn-cs"/>
              </a:endParaRPr>
            </a:p>
            <a:p>
              <a:r>
                <a:rPr lang="en-GB" sz="1100" b="1">
                  <a:solidFill>
                    <a:schemeClr val="dk1"/>
                  </a:solidFill>
                  <a:effectLst/>
                  <a:latin typeface="+mn-lt"/>
                  <a:ea typeface="+mn-ea"/>
                  <a:cs typeface="+mn-cs"/>
                </a:rPr>
                <a:t>Authors</a:t>
              </a:r>
              <a:r>
                <a:rPr lang="en-GB" sz="1100" b="0">
                  <a:solidFill>
                    <a:schemeClr val="dk1"/>
                  </a:solidFill>
                  <a:effectLst/>
                  <a:latin typeface="+mn-lt"/>
                  <a:ea typeface="+mn-ea"/>
                  <a:cs typeface="+mn-cs"/>
                </a:rPr>
                <a:t>:</a:t>
              </a:r>
              <a:r>
                <a:rPr lang="en-GB" sz="1100" b="0" baseline="0">
                  <a:solidFill>
                    <a:schemeClr val="dk1"/>
                  </a:solidFill>
                  <a:effectLst/>
                  <a:latin typeface="+mn-lt"/>
                  <a:ea typeface="+mn-ea"/>
                  <a:cs typeface="+mn-cs"/>
                </a:rPr>
                <a:t> Andrew P. Derby, Kara E. Huff Hartz, Neil W. Fuller, Peter F. Landrum, John D. Reeve, Helen Poynton, Richard E. Connon, Michael J. Lydy</a:t>
              </a:r>
            </a:p>
            <a:p>
              <a:endParaRPr lang="en-GB"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Title: </a:t>
              </a:r>
              <a:r>
                <a:rPr lang="en-GB" sz="1100" b="0">
                  <a:solidFill>
                    <a:schemeClr val="dk1"/>
                  </a:solidFill>
                  <a:effectLst/>
                  <a:latin typeface="+mn-lt"/>
                  <a:ea typeface="+mn-ea"/>
                  <a:cs typeface="+mn-cs"/>
                </a:rPr>
                <a:t>The impact of temperature and salinity on permethrin bioconcentration of permethrin in </a:t>
              </a:r>
              <a:r>
                <a:rPr lang="en-GB" sz="1100" b="0" i="1">
                  <a:solidFill>
                    <a:schemeClr val="dk1"/>
                  </a:solidFill>
                  <a:effectLst/>
                  <a:latin typeface="+mn-lt"/>
                  <a:ea typeface="+mn-ea"/>
                  <a:cs typeface="+mn-cs"/>
                </a:rPr>
                <a:t>Hyalella azteca</a:t>
              </a:r>
              <a:r>
                <a:rPr lang="en-GB" sz="1100" b="0">
                  <a:solidFill>
                    <a:schemeClr val="dk1"/>
                  </a:solidFill>
                  <a:effectLst/>
                  <a:latin typeface="+mn-lt"/>
                  <a:ea typeface="+mn-ea"/>
                  <a:cs typeface="+mn-cs"/>
                </a:rPr>
                <a:t> and subsequent bioaccumulation in Inland silversides (</a:t>
              </a:r>
              <a:r>
                <a:rPr lang="en-GB" sz="1100" b="0" i="1">
                  <a:solidFill>
                    <a:schemeClr val="dk1"/>
                  </a:solidFill>
                  <a:effectLst/>
                  <a:latin typeface="+mn-lt"/>
                  <a:ea typeface="+mn-ea"/>
                  <a:cs typeface="+mn-cs"/>
                </a:rPr>
                <a:t>Menidia beryllina</a:t>
              </a:r>
              <a:r>
                <a:rPr lang="en-GB" sz="1100" b="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Abstract:</a:t>
              </a:r>
              <a:r>
                <a:rPr lang="en-GB" sz="1100" b="1" baseline="0">
                  <a:solidFill>
                    <a:schemeClr val="dk1"/>
                  </a:solidFill>
                  <a:effectLst/>
                  <a:latin typeface="+mn-lt"/>
                  <a:ea typeface="+mn-ea"/>
                  <a:cs typeface="+mn-cs"/>
                </a:rPr>
                <a:t> </a:t>
              </a:r>
              <a:r>
                <a:rPr lang="en-GB" sz="1100" b="0" baseline="0">
                  <a:solidFill>
                    <a:schemeClr val="dk1"/>
                  </a:solidFill>
                  <a:effectLst/>
                  <a:latin typeface="+mn-lt"/>
                  <a:ea typeface="+mn-ea"/>
                  <a:cs typeface="+mn-cs"/>
                </a:rPr>
                <a:t>Recent studies demonstrated pyrethroid resistance associated with voltage-gated sodium channel mutations in populations of the epibenthic amphipod, Hyalella azteca. Resistant populations were able to tolerate and bioconcentrate pyrethroids at concentrations significantly higher than toxic levels for non-resistant populations. In conjunction with elevated bioconcentration potential, environmental alteration particularly as a result of global climate change is anticipated to significantly alter abiotic parameters including temperature and salinity. These changes are expected to influence uptake and biotransformation of contaminants. Thus, the aims of the current study were a) to examine the bioconcentration potential of permethrin in two pyrethroid-resistant clades of H. azteca and b) assess the influence of temperature and salinity changes on toxicokinetic parameters. Two pyrethroid-resistant clades of H. azteca were exposed to 14C permethrin at three salinities (0.2, 1.0 and 6.0 practical salinity units (PSU)) and temperatures (18, 23 and 28°C). Tests were conducted for up to 36 hours and uptake, elimination and biotransformation rates were calculated. Both populations demonstrated bioconcentration factors (BCFs) between five and seven times greater than published data for non-resistant H. azteca, with significant differences between clades. Calculated BCF values were comparable to field populations of resistant H. azteca, emphasizing the potential for elevated pyrethroid bioconcentration in the natural environment and increased exposure for predators consuming pyrethroid-resistant aquatic invertebrates. Alterations to temperature and salinity had no statistically significant effect on uptake or parent compound half-life in either population, though biotransformation was elevated at higher temperatures in both populations. Salinity had a variable effect between the two populations, with lower BCF values at 1.0 PSU in clade D H. azteca and greater BCFs at 6.0 PSU in clade C H. azteca. This is the first study to demonstrate the potential for future climate scenarios to influence toxicokinetics in pyrethroid-resistant aquatic organisms.</a:t>
              </a:r>
            </a:p>
            <a:p>
              <a:pPr eaLnBrk="1" fontAlgn="auto" latinLnBrk="0" hangingPunct="1"/>
              <a:r>
                <a:rPr lang="en-GB" sz="1100" b="1" i="0" baseline="0">
                  <a:solidFill>
                    <a:schemeClr val="dk1"/>
                  </a:solidFill>
                  <a:effectLst/>
                  <a:latin typeface="+mn-lt"/>
                  <a:ea typeface="+mn-ea"/>
                  <a:cs typeface="+mn-cs"/>
                </a:rPr>
                <a:t>Date Created: </a:t>
              </a:r>
              <a:r>
                <a:rPr lang="en-GB" sz="1100" b="0" i="0" baseline="0">
                  <a:solidFill>
                    <a:schemeClr val="dk1"/>
                  </a:solidFill>
                  <a:effectLst/>
                  <a:latin typeface="+mn-lt"/>
                  <a:ea typeface="+mn-ea"/>
                  <a:cs typeface="+mn-cs"/>
                </a:rPr>
                <a:t>2020</a:t>
              </a:r>
              <a:endParaRPr lang="en-US">
                <a:effectLst/>
              </a:endParaRPr>
            </a:p>
            <a:p>
              <a:pPr eaLnBrk="1" fontAlgn="auto" latinLnBrk="0" hangingPunct="1"/>
              <a:r>
                <a:rPr lang="en-GB" sz="1100" b="1" i="0" baseline="0">
                  <a:solidFill>
                    <a:schemeClr val="dk1"/>
                  </a:solidFill>
                  <a:effectLst/>
                  <a:latin typeface="+mn-lt"/>
                  <a:ea typeface="+mn-ea"/>
                  <a:cs typeface="+mn-cs"/>
                </a:rPr>
                <a:t>File Format: </a:t>
              </a:r>
              <a:r>
                <a:rPr lang="en-GB" sz="1100" b="0" i="0" baseline="0">
                  <a:solidFill>
                    <a:schemeClr val="dk1"/>
                  </a:solidFill>
                  <a:effectLst/>
                  <a:latin typeface="+mn-lt"/>
                  <a:ea typeface="+mn-ea"/>
                  <a:cs typeface="+mn-cs"/>
                </a:rPr>
                <a:t>Excel (.xlsx)</a:t>
              </a:r>
              <a:endParaRPr lang="en-US">
                <a:effectLst/>
              </a:endParaRPr>
            </a:p>
            <a:p>
              <a:pPr eaLnBrk="1" fontAlgn="auto" latinLnBrk="0" hangingPunct="1"/>
              <a:r>
                <a:rPr lang="en-GB" sz="1100" b="1" i="0" baseline="0">
                  <a:solidFill>
                    <a:schemeClr val="dk1"/>
                  </a:solidFill>
                  <a:effectLst/>
                  <a:latin typeface="+mn-lt"/>
                  <a:ea typeface="+mn-ea"/>
                  <a:cs typeface="+mn-cs"/>
                </a:rPr>
                <a:t>Scientific Names: </a:t>
              </a:r>
              <a:r>
                <a:rPr lang="en-GB" sz="1100" b="0" i="1" baseline="0">
                  <a:solidFill>
                    <a:schemeClr val="dk1"/>
                  </a:solidFill>
                  <a:effectLst/>
                  <a:latin typeface="+mn-lt"/>
                  <a:ea typeface="+mn-ea"/>
                  <a:cs typeface="+mn-cs"/>
                </a:rPr>
                <a:t>Hyalella azteca, Menidia beryllina</a:t>
              </a:r>
              <a:endParaRPr lang="en-US">
                <a:effectLst/>
              </a:endParaRPr>
            </a:p>
            <a:p>
              <a:pPr eaLnBrk="1" fontAlgn="auto" latinLnBrk="0" hangingPunct="1"/>
              <a:r>
                <a:rPr lang="en-GB" sz="1100" b="1" i="0" baseline="0">
                  <a:solidFill>
                    <a:schemeClr val="dk1"/>
                  </a:solidFill>
                  <a:effectLst/>
                  <a:latin typeface="+mn-lt"/>
                  <a:ea typeface="+mn-ea"/>
                  <a:cs typeface="+mn-cs"/>
                </a:rPr>
                <a:t>Geographic Coverage: </a:t>
              </a:r>
              <a:r>
                <a:rPr lang="en-GB" sz="1100" b="0" i="0" baseline="0">
                  <a:solidFill>
                    <a:schemeClr val="dk1"/>
                  </a:solidFill>
                  <a:effectLst/>
                  <a:latin typeface="+mn-lt"/>
                  <a:ea typeface="+mn-ea"/>
                  <a:cs typeface="+mn-cs"/>
                </a:rPr>
                <a:t>na (lab study)</a:t>
              </a:r>
              <a:endParaRPr lang="en-US">
                <a:effectLst/>
              </a:endParaRPr>
            </a:p>
            <a:p>
              <a:pPr eaLnBrk="1" fontAlgn="auto" latinLnBrk="0" hangingPunct="1"/>
              <a:r>
                <a:rPr lang="en-GB" sz="1100" b="1" i="0" baseline="0">
                  <a:solidFill>
                    <a:schemeClr val="dk1"/>
                  </a:solidFill>
                  <a:effectLst/>
                  <a:latin typeface="+mn-lt"/>
                  <a:ea typeface="+mn-ea"/>
                  <a:cs typeface="+mn-cs"/>
                </a:rPr>
                <a:t>Related Content: </a:t>
              </a:r>
              <a:r>
                <a:rPr lang="en-GB" sz="1100" b="0" i="0" baseline="0">
                  <a:solidFill>
                    <a:schemeClr val="dk1"/>
                  </a:solidFill>
                  <a:effectLst/>
                  <a:latin typeface="+mn-lt"/>
                  <a:ea typeface="+mn-ea"/>
                  <a:cs typeface="+mn-cs"/>
                </a:rPr>
                <a:t>na (manuscript has been submitted containing this data, but not yet published).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rPr>
                <a:t>Keywords: </a:t>
              </a:r>
              <a:r>
                <a:rPr lang="en-GB" b="0">
                  <a:effectLst/>
                </a:rPr>
                <a:t>Toxicokinetics</a:t>
              </a:r>
              <a:r>
                <a:rPr lang="en-GB" b="0" i="1">
                  <a:effectLst/>
                </a:rPr>
                <a:t>; Hyalella azteca</a:t>
              </a:r>
              <a:r>
                <a:rPr lang="en-GB" b="0">
                  <a:effectLst/>
                </a:rPr>
                <a:t>; bioconcentration; permethrin; climate change</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File Name</a:t>
              </a:r>
              <a:r>
                <a:rPr lang="en-GB" sz="1100">
                  <a:solidFill>
                    <a:schemeClr val="dk1"/>
                  </a:solidFill>
                  <a:effectLst/>
                  <a:latin typeface="+mn-lt"/>
                  <a:ea typeface="+mn-ea"/>
                  <a:cs typeface="+mn-cs"/>
                </a:rPr>
                <a:t>: AD.Bioconcentration.Hyalella.Project.Data.NF06182021.xlsx	</a:t>
              </a:r>
            </a:p>
            <a:p>
              <a:r>
                <a:rPr lang="en-GB" sz="1100">
                  <a:solidFill>
                    <a:schemeClr val="dk1"/>
                  </a:solidFill>
                  <a:effectLst/>
                  <a:latin typeface="+mn-lt"/>
                  <a:ea typeface="+mn-ea"/>
                  <a:cs typeface="+mn-cs"/>
                </a:rPr>
                <a:t>Summary – This excel workbook contains data from toxicokinetic studies of two pyrethroid resistant clades of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(Mosher Slough &amp; Escondido Creek) exposed to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 under varying temperature (18, 23 and 28°C) and salinity (0.2, 1.0 &amp; 6.0 practical salinity units [psu]) conditions. Juvenile Mosher Slough &amp; Escondido Creek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were exposed to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 at a nominal concentration of 400 ng/L for 36 hours at the aforementioned temperatures and salinities. Individuals were removed after 3, 6, 12, 16, 24 and 36 hours and analysed for total permethrin and metabolites. The uptake, biotransformation and elimination of permethrin in the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was determined assuming a two-compartment model (water and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and first-order kinetics for uptake, biotransformation, elimination of parent permethrin and biotransformation products (metabolites). Further methodological details can be found in Derby et al., (2020, In Press). </a:t>
              </a:r>
            </a:p>
            <a:p>
              <a:pPr lvl="0"/>
              <a:r>
                <a:rPr lang="en-GB" sz="1100" b="1">
                  <a:solidFill>
                    <a:schemeClr val="dk1"/>
                  </a:solidFill>
                  <a:effectLst/>
                  <a:latin typeface="+mn-lt"/>
                  <a:ea typeface="+mn-ea"/>
                  <a:cs typeface="+mn-cs"/>
                </a:rPr>
                <a:t>Sheet Name: Toxicokinetic Parameter Summary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a summary of assessed toxicokinetic parameters for both populations of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at each temperature and salinity, including: </a:t>
              </a:r>
            </a:p>
            <a:p>
              <a:pPr lvl="0"/>
              <a:r>
                <a:rPr lang="en-GB" sz="1100">
                  <a:solidFill>
                    <a:schemeClr val="dk1"/>
                  </a:solidFill>
                  <a:effectLst/>
                  <a:latin typeface="+mn-lt"/>
                  <a:ea typeface="+mn-ea"/>
                  <a:cs typeface="+mn-cs"/>
                </a:rPr>
                <a:t>Uptake, ku (ku = uptake clearance coefficient, mL g-1 organism h-1),</a:t>
              </a:r>
            </a:p>
            <a:p>
              <a:pPr lvl="0"/>
              <a:r>
                <a:rPr lang="en-GB" sz="1100">
                  <a:solidFill>
                    <a:schemeClr val="dk1"/>
                  </a:solidFill>
                  <a:effectLst/>
                  <a:latin typeface="+mn-lt"/>
                  <a:ea typeface="+mn-ea"/>
                  <a:cs typeface="+mn-cs"/>
                </a:rPr>
                <a:t>Elimination of parent compound, kep (kep = parent compound elimination rate constant (h-1))</a:t>
              </a:r>
            </a:p>
            <a:p>
              <a:pPr lvl="0"/>
              <a:r>
                <a:rPr lang="en-GB" sz="1100">
                  <a:solidFill>
                    <a:schemeClr val="dk1"/>
                  </a:solidFill>
                  <a:effectLst/>
                  <a:latin typeface="+mn-lt"/>
                  <a:ea typeface="+mn-ea"/>
                  <a:cs typeface="+mn-cs"/>
                </a:rPr>
                <a:t>Metabolite formation, km (km = metabolite formation constant (h-1)),</a:t>
              </a:r>
            </a:p>
            <a:p>
              <a:pPr lvl="0"/>
              <a:r>
                <a:rPr lang="en-GB" sz="1100">
                  <a:solidFill>
                    <a:schemeClr val="dk1"/>
                  </a:solidFill>
                  <a:effectLst/>
                  <a:latin typeface="+mn-lt"/>
                  <a:ea typeface="+mn-ea"/>
                  <a:cs typeface="+mn-cs"/>
                </a:rPr>
                <a:t>Metabolite elimination, kem (kem = metabolite elimination rate constant (h-1), </a:t>
              </a:r>
            </a:p>
            <a:p>
              <a:pPr lvl="0"/>
              <a:r>
                <a:rPr lang="en-GB" sz="1100">
                  <a:solidFill>
                    <a:schemeClr val="dk1"/>
                  </a:solidFill>
                  <a:effectLst/>
                  <a:latin typeface="+mn-lt"/>
                  <a:ea typeface="+mn-ea"/>
                  <a:cs typeface="+mn-cs"/>
                </a:rPr>
                <a:t>Bioconcentration factor (BCF = </a:t>
              </a:r>
              <a:r>
                <a:rPr lang="en-GB" sz="1100" i="0">
                  <a:solidFill>
                    <a:schemeClr val="dk1"/>
                  </a:solidFill>
                  <a:effectLst/>
                  <a:latin typeface="Cambria Math" panose="02040503050406030204" pitchFamily="18" charset="0"/>
                  <a:ea typeface="+mn-ea"/>
                  <a:cs typeface="+mn-cs"/>
                </a:rPr>
                <a:t>k_u/((k_ep+k_m))</a:t>
              </a:r>
              <a:r>
                <a:rPr lang="en-GB" sz="1100">
                  <a:solidFill>
                    <a:schemeClr val="dk1"/>
                  </a:solidFill>
                  <a:effectLst/>
                  <a:latin typeface="+mn-lt"/>
                  <a:ea typeface="+mn-ea"/>
                  <a:cs typeface="+mn-cs"/>
                </a:rPr>
                <a:t>) </a:t>
              </a:r>
            </a:p>
            <a:p>
              <a:pPr lvl="0"/>
              <a:r>
                <a:rPr lang="en-GB" sz="1100">
                  <a:solidFill>
                    <a:schemeClr val="dk1"/>
                  </a:solidFill>
                  <a:effectLst/>
                  <a:latin typeface="+mn-lt"/>
                  <a:ea typeface="+mn-ea"/>
                  <a:cs typeface="+mn-cs"/>
                </a:rPr>
                <a:t>Biological half-life of the parent compound (t1/2, </a:t>
              </a:r>
              <a:r>
                <a:rPr lang="en-GB" sz="1100" i="0">
                  <a:solidFill>
                    <a:schemeClr val="dk1"/>
                  </a:solidFill>
                  <a:effectLst/>
                  <a:latin typeface="Cambria Math" panose="02040503050406030204" pitchFamily="18" charset="0"/>
                  <a:ea typeface="+mn-ea"/>
                  <a:cs typeface="+mn-cs"/>
                </a:rPr>
                <a:t>=0.693/(〖(k〗_ep+k_m))</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Data is presented with standard deviations in parentheses (SD) across all replicates, as well as model fit for individual toxicokinetic models. </a:t>
              </a:r>
            </a:p>
            <a:p>
              <a:pPr lvl="0"/>
              <a:r>
                <a:rPr lang="en-GB" sz="1100" b="1">
                  <a:solidFill>
                    <a:schemeClr val="dk1"/>
                  </a:solidFill>
                  <a:effectLst/>
                  <a:latin typeface="+mn-lt"/>
                  <a:ea typeface="+mn-ea"/>
                  <a:cs typeface="+mn-cs"/>
                </a:rPr>
                <a:t>Sheet Name: Mosher Masses 0.2 18</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weights of juvenile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from Mosher Resistant toxicokinetic studies at each timepoint at 0.2 psu and 18°C. All weights are on a dry-weight basis and measured using a Mettler-Toledo XS105 balance.</a:t>
              </a:r>
            </a:p>
            <a:p>
              <a:pPr lvl="0"/>
              <a:r>
                <a:rPr lang="en-GB" sz="1100" b="1">
                  <a:solidFill>
                    <a:schemeClr val="dk1"/>
                  </a:solidFill>
                  <a:effectLst/>
                  <a:latin typeface="+mn-lt"/>
                  <a:ea typeface="+mn-ea"/>
                  <a:cs typeface="+mn-cs"/>
                </a:rPr>
                <a:t>Sheet Name: Mosher TotalsMetabolites 0.2 18</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the total amounts of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 permethrin in three replicates of Mosher resistant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collected at each timepoint of the study, at 0.2 psu and 18°C. Measurements were conducted using liquid scintillation counting (LSC). Samples are shown on a wet weight basis, abbreviated to ‘ww’ within this sheet. Relative standard deviations are shown, defined as the standard deviation divided by the average of the samples. ‘dpm’ refers to disintegrations per minute as measured using LSC. Sample listed as ‘blank’ contains only scintillation cocktail and was used to account for background radiation. QA/QC before and after samples are acetone rinses of the ultrasonicator used to homogenize</a:t>
              </a:r>
              <a:r>
                <a:rPr lang="en-GB" sz="1100" i="1">
                  <a:solidFill>
                    <a:schemeClr val="dk1"/>
                  </a:solidFill>
                  <a:effectLst/>
                  <a:latin typeface="+mn-lt"/>
                  <a:ea typeface="+mn-ea"/>
                  <a:cs typeface="+mn-cs"/>
                </a:rPr>
                <a:t> H.azteca</a:t>
              </a:r>
              <a:r>
                <a:rPr lang="en-GB" sz="1100">
                  <a:solidFill>
                    <a:schemeClr val="dk1"/>
                  </a:solidFill>
                  <a:effectLst/>
                  <a:latin typeface="+mn-lt"/>
                  <a:ea typeface="+mn-ea"/>
                  <a:cs typeface="+mn-cs"/>
                </a:rPr>
                <a:t> samples, with the sample listed as ‘before’ taken prior to analysing any samples and ‘after’ following sonication of radioactive samples. Data is shown relative to the cocktail blank. Fractions shown are permethrin biotransformation products (fractions 1, 2,3 and 5) as well as parent permethrin (fraction 4) isolated using high performance liquid chromatography (HPLC). Further methodological details are available in Derby et al., (In Press). </a:t>
              </a:r>
            </a:p>
            <a:p>
              <a:pPr lvl="0"/>
              <a:r>
                <a:rPr lang="en-GB" sz="1100" b="1">
                  <a:solidFill>
                    <a:schemeClr val="dk1"/>
                  </a:solidFill>
                  <a:effectLst/>
                  <a:latin typeface="+mn-lt"/>
                  <a:ea typeface="+mn-ea"/>
                  <a:cs typeface="+mn-cs"/>
                </a:rPr>
                <a:t>Sheet Name: Mosher WaterSamples 0.2 18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data from water samples collected during Mosher resistant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0.2 psu, 18°C toxicokinetic studies as described above. 1 mL samples were taken in triplicate at various timepoints prior to and during the experiment. Water samples listed as ‘D0’ were taken prior to addition of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in singular, and those listed as ‘3, 6…’ were taken during the experiment following addition of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The relationship between water concentrations and time is shown. </a:t>
              </a:r>
            </a:p>
            <a:p>
              <a:r>
                <a:rPr lang="en-GB" sz="1100" b="1">
                  <a:solidFill>
                    <a:schemeClr val="dk1"/>
                  </a:solidFill>
                  <a:effectLst/>
                  <a:latin typeface="+mn-lt"/>
                  <a:ea typeface="+mn-ea"/>
                  <a:cs typeface="+mn-cs"/>
                </a:rPr>
                <a:t>Subsequent data sheets follow the same format for different temperatures, salinities and populations. For example, Mosher 6.0 23 is the Mosher Resistant population assessed at 6.0 psu and 23°C, and Esc 1.0 18 is the Escondido Creek population assessed at 1.0 psu and 18°C. </a:t>
              </a:r>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Sheet Name: </a:t>
              </a:r>
              <a:r>
                <a:rPr lang="en-GB" sz="1100" b="1" i="1">
                  <a:solidFill>
                    <a:schemeClr val="dk1"/>
                  </a:solidFill>
                  <a:effectLst/>
                  <a:latin typeface="+mn-lt"/>
                  <a:ea typeface="+mn-ea"/>
                  <a:cs typeface="+mn-cs"/>
                </a:rPr>
                <a:t>Hyalella </a:t>
              </a:r>
              <a:r>
                <a:rPr lang="en-GB" sz="1100" b="1">
                  <a:solidFill>
                    <a:schemeClr val="dk1"/>
                  </a:solidFill>
                  <a:effectLst/>
                  <a:latin typeface="+mn-lt"/>
                  <a:ea typeface="+mn-ea"/>
                  <a:cs typeface="+mn-cs"/>
                </a:rPr>
                <a:t>Extraction Efficiency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sheet contains data from an experiment to determine the efficiency of the extraction methods used. For the total extraction efficiency, 10 µL of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 stock was added directly to a scintillation vial containing 5 mL scintillation cocktail. Concurrently, 10 µL of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 stock was added to 15 juvenile Mosher resistant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and scintillation cocktail added. Both samples were ultrasonicated at 30% amplitude for 10s in triplicate, dark acclimated for 24 hrs and analysed using LSC. The % extraction efficiency was calculated as: (dpm amount in stock/dpm amount in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)*100. For the metabolite extraction efficiency, two replicates of </a:t>
              </a:r>
              <a:r>
                <a:rPr lang="en-GB" sz="1100" baseline="30000">
                  <a:solidFill>
                    <a:schemeClr val="dk1"/>
                  </a:solidFill>
                  <a:effectLst/>
                  <a:latin typeface="+mn-lt"/>
                  <a:ea typeface="+mn-ea"/>
                  <a:cs typeface="+mn-cs"/>
                </a:rPr>
                <a:t>14</a:t>
              </a:r>
              <a:r>
                <a:rPr lang="en-GB" sz="1100">
                  <a:solidFill>
                    <a:schemeClr val="dk1"/>
                  </a:solidFill>
                  <a:effectLst/>
                  <a:latin typeface="+mn-lt"/>
                  <a:ea typeface="+mn-ea"/>
                  <a:cs typeface="+mn-cs"/>
                </a:rPr>
                <a:t>C-permethrin</a:t>
              </a:r>
              <a:r>
                <a:rPr lang="en-GB" sz="1100" baseline="30000">
                  <a:solidFill>
                    <a:schemeClr val="dk1"/>
                  </a:solidFill>
                  <a:effectLst/>
                  <a:latin typeface="+mn-lt"/>
                  <a:ea typeface="+mn-ea"/>
                  <a:cs typeface="+mn-cs"/>
                </a:rPr>
                <a:t> </a:t>
              </a:r>
              <a:r>
                <a:rPr lang="en-GB" sz="1100">
                  <a:solidFill>
                    <a:schemeClr val="dk1"/>
                  </a:solidFill>
                  <a:effectLst/>
                  <a:latin typeface="+mn-lt"/>
                  <a:ea typeface="+mn-ea"/>
                  <a:cs typeface="+mn-cs"/>
                </a:rPr>
                <a:t>dosed juvenile Mosher resistant </a:t>
              </a:r>
              <a:r>
                <a:rPr lang="en-GB" sz="1100" i="1">
                  <a:solidFill>
                    <a:schemeClr val="dk1"/>
                  </a:solidFill>
                  <a:effectLst/>
                  <a:latin typeface="+mn-lt"/>
                  <a:ea typeface="+mn-ea"/>
                  <a:cs typeface="+mn-cs"/>
                </a:rPr>
                <a:t>H. azteca </a:t>
              </a:r>
              <a:r>
                <a:rPr lang="en-GB" sz="1100">
                  <a:solidFill>
                    <a:schemeClr val="dk1"/>
                  </a:solidFill>
                  <a:effectLst/>
                  <a:latin typeface="+mn-lt"/>
                  <a:ea typeface="+mn-ea"/>
                  <a:cs typeface="+mn-cs"/>
                </a:rPr>
                <a:t>of known activity concentration (at ~ 1 ng per </a:t>
              </a:r>
              <a:r>
                <a:rPr lang="en-GB" sz="1100" i="1">
                  <a:solidFill>
                    <a:schemeClr val="dk1"/>
                  </a:solidFill>
                  <a:effectLst/>
                  <a:latin typeface="+mn-lt"/>
                  <a:ea typeface="+mn-ea"/>
                  <a:cs typeface="+mn-cs"/>
                </a:rPr>
                <a:t>H. azteca</a:t>
              </a:r>
              <a:r>
                <a:rPr lang="en-GB" sz="1100">
                  <a:solidFill>
                    <a:schemeClr val="dk1"/>
                  </a:solidFill>
                  <a:effectLst/>
                  <a:latin typeface="+mn-lt"/>
                  <a:ea typeface="+mn-ea"/>
                  <a:cs typeface="+mn-cs"/>
                </a:rPr>
                <a:t>) were assessed for both total permethrin and metabolites. Extraction efficiency was calculated as: (amount of parent permethrin/sum of metabolites and parent)*100. </a:t>
              </a:r>
            </a:p>
            <a:p>
              <a:endParaRPr lang="en-GB" sz="1100"/>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8</xdr:col>
      <xdr:colOff>69850</xdr:colOff>
      <xdr:row>13</xdr:row>
      <xdr:rowOff>25400</xdr:rowOff>
    </xdr:from>
    <xdr:to>
      <xdr:col>13</xdr:col>
      <xdr:colOff>774700</xdr:colOff>
      <xdr:row>28</xdr:row>
      <xdr:rowOff>63500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22225</xdr:colOff>
      <xdr:row>17</xdr:row>
      <xdr:rowOff>50800</xdr:rowOff>
    </xdr:from>
    <xdr:to>
      <xdr:col>24</xdr:col>
      <xdr:colOff>88900</xdr:colOff>
      <xdr:row>37</xdr:row>
      <xdr:rowOff>101599</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749300</xdr:colOff>
      <xdr:row>9</xdr:row>
      <xdr:rowOff>177800</xdr:rowOff>
    </xdr:from>
    <xdr:to>
      <xdr:col>16</xdr:col>
      <xdr:colOff>266700</xdr:colOff>
      <xdr:row>28</xdr:row>
      <xdr:rowOff>165100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812800</xdr:colOff>
      <xdr:row>30</xdr:row>
      <xdr:rowOff>114300</xdr:rowOff>
    </xdr:from>
    <xdr:to>
      <xdr:col>16</xdr:col>
      <xdr:colOff>330200</xdr:colOff>
      <xdr:row>49</xdr:row>
      <xdr:rowOff>101600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635000</xdr:colOff>
      <xdr:row>6</xdr:row>
      <xdr:rowOff>88900</xdr:rowOff>
    </xdr:from>
    <xdr:to>
      <xdr:col>18</xdr:col>
      <xdr:colOff>749300</xdr:colOff>
      <xdr:row>27</xdr:row>
      <xdr:rowOff>50800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393700</xdr:colOff>
      <xdr:row>26</xdr:row>
      <xdr:rowOff>127000</xdr:rowOff>
    </xdr:from>
    <xdr:to>
      <xdr:col>14</xdr:col>
      <xdr:colOff>774700</xdr:colOff>
      <xdr:row>41</xdr:row>
      <xdr:rowOff>12700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403225</xdr:colOff>
      <xdr:row>7</xdr:row>
      <xdr:rowOff>165100</xdr:rowOff>
    </xdr:from>
    <xdr:to>
      <xdr:col>17</xdr:col>
      <xdr:colOff>520700</xdr:colOff>
      <xdr:row>25</xdr:row>
      <xdr:rowOff>114300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393700</xdr:colOff>
      <xdr:row>26</xdr:row>
      <xdr:rowOff>127000</xdr:rowOff>
    </xdr:from>
    <xdr:to>
      <xdr:col>14</xdr:col>
      <xdr:colOff>774700</xdr:colOff>
      <xdr:row>41</xdr:row>
      <xdr:rowOff>12700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22225</xdr:colOff>
      <xdr:row>20</xdr:row>
      <xdr:rowOff>50800</xdr:rowOff>
    </xdr:from>
    <xdr:to>
      <xdr:col>24</xdr:col>
      <xdr:colOff>88900</xdr:colOff>
      <xdr:row>38</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393700</xdr:colOff>
      <xdr:row>26</xdr:row>
      <xdr:rowOff>127000</xdr:rowOff>
    </xdr:from>
    <xdr:to>
      <xdr:col>14</xdr:col>
      <xdr:colOff>774700</xdr:colOff>
      <xdr:row>41</xdr:row>
      <xdr:rowOff>12700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457200</xdr:colOff>
      <xdr:row>9</xdr:row>
      <xdr:rowOff>146050</xdr:rowOff>
    </xdr:from>
    <xdr:to>
      <xdr:col>15</xdr:col>
      <xdr:colOff>76200</xdr:colOff>
      <xdr:row>24</xdr:row>
      <xdr:rowOff>31750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25400</xdr:colOff>
      <xdr:row>8</xdr:row>
      <xdr:rowOff>158750</xdr:rowOff>
    </xdr:from>
    <xdr:to>
      <xdr:col>15</xdr:col>
      <xdr:colOff>469900</xdr:colOff>
      <xdr:row>23</xdr:row>
      <xdr:rowOff>44450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660400</xdr:colOff>
      <xdr:row>6</xdr:row>
      <xdr:rowOff>152400</xdr:rowOff>
    </xdr:from>
    <xdr:to>
      <xdr:col>17</xdr:col>
      <xdr:colOff>800100</xdr:colOff>
      <xdr:row>26</xdr:row>
      <xdr:rowOff>177800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609600</xdr:colOff>
      <xdr:row>7</xdr:row>
      <xdr:rowOff>88900</xdr:rowOff>
    </xdr:from>
    <xdr:to>
      <xdr:col>15</xdr:col>
      <xdr:colOff>228600</xdr:colOff>
      <xdr:row>21</xdr:row>
      <xdr:rowOff>165100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22225</xdr:colOff>
      <xdr:row>20</xdr:row>
      <xdr:rowOff>50800</xdr:rowOff>
    </xdr:from>
    <xdr:to>
      <xdr:col>24</xdr:col>
      <xdr:colOff>88900</xdr:colOff>
      <xdr:row>38</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533400</xdr:colOff>
      <xdr:row>10</xdr:row>
      <xdr:rowOff>12700</xdr:rowOff>
    </xdr:from>
    <xdr:to>
      <xdr:col>15</xdr:col>
      <xdr:colOff>76200</xdr:colOff>
      <xdr:row>24</xdr:row>
      <xdr:rowOff>88900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571500</xdr:colOff>
      <xdr:row>25</xdr:row>
      <xdr:rowOff>165100</xdr:rowOff>
    </xdr:from>
    <xdr:to>
      <xdr:col>15</xdr:col>
      <xdr:colOff>114300</xdr:colOff>
      <xdr:row>41</xdr:row>
      <xdr:rowOff>25400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63500</xdr:colOff>
      <xdr:row>5</xdr:row>
      <xdr:rowOff>177800</xdr:rowOff>
    </xdr:from>
    <xdr:to>
      <xdr:col>20</xdr:col>
      <xdr:colOff>546100</xdr:colOff>
      <xdr:row>27</xdr:row>
      <xdr:rowOff>25400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393700</xdr:colOff>
      <xdr:row>26</xdr:row>
      <xdr:rowOff>127000</xdr:rowOff>
    </xdr:from>
    <xdr:to>
      <xdr:col>14</xdr:col>
      <xdr:colOff>774700</xdr:colOff>
      <xdr:row>41</xdr:row>
      <xdr:rowOff>12700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504825</xdr:colOff>
      <xdr:row>8</xdr:row>
      <xdr:rowOff>139700</xdr:rowOff>
    </xdr:from>
    <xdr:to>
      <xdr:col>18</xdr:col>
      <xdr:colOff>457200</xdr:colOff>
      <xdr:row>29</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393700</xdr:colOff>
      <xdr:row>26</xdr:row>
      <xdr:rowOff>127000</xdr:rowOff>
    </xdr:from>
    <xdr:to>
      <xdr:col>14</xdr:col>
      <xdr:colOff>774700</xdr:colOff>
      <xdr:row>41</xdr:row>
      <xdr:rowOff>12700</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822325</xdr:colOff>
      <xdr:row>19</xdr:row>
      <xdr:rowOff>139700</xdr:rowOff>
    </xdr:from>
    <xdr:to>
      <xdr:col>24</xdr:col>
      <xdr:colOff>63500</xdr:colOff>
      <xdr:row>37</xdr:row>
      <xdr:rowOff>88900</xdr:rowOff>
    </xdr:to>
    <xdr:graphicFrame macro="">
      <xdr:nvGraphicFramePr>
        <xdr:cNvPr id="2" name="Chart 1">
          <a:extLst>
            <a:ext uri="{FF2B5EF4-FFF2-40B4-BE49-F238E27FC236}">
              <a16:creationId xmlns:a16="http://schemas.microsoft.com/office/drawing/2014/main" id="{7CA095C5-9778-D141-90D9-C7D03175B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6F05A98B-6D46-0840-83DD-104125073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822325</xdr:colOff>
      <xdr:row>19</xdr:row>
      <xdr:rowOff>139700</xdr:rowOff>
    </xdr:from>
    <xdr:to>
      <xdr:col>24</xdr:col>
      <xdr:colOff>63500</xdr:colOff>
      <xdr:row>37</xdr:row>
      <xdr:rowOff>88900</xdr:rowOff>
    </xdr:to>
    <xdr:graphicFrame macro="">
      <xdr:nvGraphicFramePr>
        <xdr:cNvPr id="2" name="Chart 1">
          <a:extLst>
            <a:ext uri="{FF2B5EF4-FFF2-40B4-BE49-F238E27FC236}">
              <a16:creationId xmlns:a16="http://schemas.microsoft.com/office/drawing/2014/main" id="{671B187C-0002-2C41-94C4-5440F7EBB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EA045117-8196-FC42-B70E-7837ABB87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822325</xdr:colOff>
      <xdr:row>19</xdr:row>
      <xdr:rowOff>139700</xdr:rowOff>
    </xdr:from>
    <xdr:to>
      <xdr:col>24</xdr:col>
      <xdr:colOff>63500</xdr:colOff>
      <xdr:row>37</xdr:row>
      <xdr:rowOff>88900</xdr:rowOff>
    </xdr:to>
    <xdr:graphicFrame macro="">
      <xdr:nvGraphicFramePr>
        <xdr:cNvPr id="2" name="Chart 1">
          <a:extLst>
            <a:ext uri="{FF2B5EF4-FFF2-40B4-BE49-F238E27FC236}">
              <a16:creationId xmlns:a16="http://schemas.microsoft.com/office/drawing/2014/main" id="{6681D221-1633-1E47-A89A-6973EE327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3F956A5F-46D5-204A-95D3-C227595FA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16</xdr:col>
      <xdr:colOff>22225</xdr:colOff>
      <xdr:row>20</xdr:row>
      <xdr:rowOff>50800</xdr:rowOff>
    </xdr:from>
    <xdr:to>
      <xdr:col>24</xdr:col>
      <xdr:colOff>88900</xdr:colOff>
      <xdr:row>38</xdr:row>
      <xdr:rowOff>0</xdr:rowOff>
    </xdr:to>
    <xdr:graphicFrame macro="">
      <xdr:nvGraphicFramePr>
        <xdr:cNvPr id="2" name="Chart 1">
          <a:extLst>
            <a:ext uri="{FF2B5EF4-FFF2-40B4-BE49-F238E27FC236}">
              <a16:creationId xmlns:a16="http://schemas.microsoft.com/office/drawing/2014/main" id="{AE83628B-C5A7-E646-A249-917191475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8423E480-FC3A-414D-BBDB-9D39955DD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200025</xdr:colOff>
      <xdr:row>7</xdr:row>
      <xdr:rowOff>101600</xdr:rowOff>
    </xdr:from>
    <xdr:to>
      <xdr:col>18</xdr:col>
      <xdr:colOff>266700</xdr:colOff>
      <xdr:row>25</xdr:row>
      <xdr:rowOff>50800</xdr:rowOff>
    </xdr:to>
    <xdr:graphicFrame macro="">
      <xdr:nvGraphicFramePr>
        <xdr:cNvPr id="2" name="Chart 1">
          <a:extLst>
            <a:ext uri="{FF2B5EF4-FFF2-40B4-BE49-F238E27FC236}">
              <a16:creationId xmlns:a16="http://schemas.microsoft.com/office/drawing/2014/main" id="{2DA22C3E-687A-974D-9962-0AEBDF539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9</xdr:col>
      <xdr:colOff>165100</xdr:colOff>
      <xdr:row>10</xdr:row>
      <xdr:rowOff>12700</xdr:rowOff>
    </xdr:from>
    <xdr:to>
      <xdr:col>14</xdr:col>
      <xdr:colOff>609600</xdr:colOff>
      <xdr:row>24</xdr:row>
      <xdr:rowOff>88900</xdr:rowOff>
    </xdr:to>
    <xdr:graphicFrame macro="">
      <xdr:nvGraphicFramePr>
        <xdr:cNvPr id="2" name="Chart 1">
          <a:extLst>
            <a:ext uri="{FF2B5EF4-FFF2-40B4-BE49-F238E27FC236}">
              <a16:creationId xmlns:a16="http://schemas.microsoft.com/office/drawing/2014/main" id="{E4285920-D8EF-D947-B316-E1B4ECA22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123825</xdr:colOff>
      <xdr:row>7</xdr:row>
      <xdr:rowOff>114300</xdr:rowOff>
    </xdr:from>
    <xdr:to>
      <xdr:col>18</xdr:col>
      <xdr:colOff>190500</xdr:colOff>
      <xdr:row>25</xdr:row>
      <xdr:rowOff>63500</xdr:rowOff>
    </xdr:to>
    <xdr:graphicFrame macro="">
      <xdr:nvGraphicFramePr>
        <xdr:cNvPr id="2" name="Chart 1">
          <a:extLst>
            <a:ext uri="{FF2B5EF4-FFF2-40B4-BE49-F238E27FC236}">
              <a16:creationId xmlns:a16="http://schemas.microsoft.com/office/drawing/2014/main" id="{6C41EB45-DCE9-0040-8A3E-EDEA4E812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654050</xdr:colOff>
      <xdr:row>10</xdr:row>
      <xdr:rowOff>165100</xdr:rowOff>
    </xdr:from>
    <xdr:to>
      <xdr:col>15</xdr:col>
      <xdr:colOff>273050</xdr:colOff>
      <xdr:row>25</xdr:row>
      <xdr:rowOff>50800</xdr:rowOff>
    </xdr:to>
    <xdr:graphicFrame macro="">
      <xdr:nvGraphicFramePr>
        <xdr:cNvPr id="2" name="Chart 1">
          <a:extLst>
            <a:ext uri="{FF2B5EF4-FFF2-40B4-BE49-F238E27FC236}">
              <a16:creationId xmlns:a16="http://schemas.microsoft.com/office/drawing/2014/main" id="{47DBE3FD-468F-7C48-9896-146A40962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123825</xdr:colOff>
      <xdr:row>7</xdr:row>
      <xdr:rowOff>114300</xdr:rowOff>
    </xdr:from>
    <xdr:to>
      <xdr:col>18</xdr:col>
      <xdr:colOff>190500</xdr:colOff>
      <xdr:row>25</xdr:row>
      <xdr:rowOff>63500</xdr:rowOff>
    </xdr:to>
    <xdr:graphicFrame macro="">
      <xdr:nvGraphicFramePr>
        <xdr:cNvPr id="2" name="Chart 1">
          <a:extLst>
            <a:ext uri="{FF2B5EF4-FFF2-40B4-BE49-F238E27FC236}">
              <a16:creationId xmlns:a16="http://schemas.microsoft.com/office/drawing/2014/main" id="{7E272BA0-1F1B-BB44-9C17-663B9292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795D13BC-4A2B-D846-81FC-283484ED9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136525</xdr:colOff>
      <xdr:row>9</xdr:row>
      <xdr:rowOff>12700</xdr:rowOff>
    </xdr:from>
    <xdr:to>
      <xdr:col>18</xdr:col>
      <xdr:colOff>203200</xdr:colOff>
      <xdr:row>26</xdr:row>
      <xdr:rowOff>152400</xdr:rowOff>
    </xdr:to>
    <xdr:graphicFrame macro="">
      <xdr:nvGraphicFramePr>
        <xdr:cNvPr id="2" name="Chart 1">
          <a:extLst>
            <a:ext uri="{FF2B5EF4-FFF2-40B4-BE49-F238E27FC236}">
              <a16:creationId xmlns:a16="http://schemas.microsoft.com/office/drawing/2014/main" id="{C2138DC4-5108-8848-88C2-C5BAAF5B5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1E1FC188-F3D5-1843-9326-944C7423C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568325</xdr:colOff>
      <xdr:row>7</xdr:row>
      <xdr:rowOff>88900</xdr:rowOff>
    </xdr:from>
    <xdr:to>
      <xdr:col>18</xdr:col>
      <xdr:colOff>635000</xdr:colOff>
      <xdr:row>25</xdr:row>
      <xdr:rowOff>38100</xdr:rowOff>
    </xdr:to>
    <xdr:graphicFrame macro="">
      <xdr:nvGraphicFramePr>
        <xdr:cNvPr id="2" name="Chart 1">
          <a:extLst>
            <a:ext uri="{FF2B5EF4-FFF2-40B4-BE49-F238E27FC236}">
              <a16:creationId xmlns:a16="http://schemas.microsoft.com/office/drawing/2014/main" id="{15AFFC92-FC23-3049-9233-D3C7751AD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381000</xdr:colOff>
      <xdr:row>11</xdr:row>
      <xdr:rowOff>50800</xdr:rowOff>
    </xdr:from>
    <xdr:to>
      <xdr:col>14</xdr:col>
      <xdr:colOff>762000</xdr:colOff>
      <xdr:row>25</xdr:row>
      <xdr:rowOff>127000</xdr:rowOff>
    </xdr:to>
    <xdr:graphicFrame macro="">
      <xdr:nvGraphicFramePr>
        <xdr:cNvPr id="2" name="Chart 1">
          <a:extLst>
            <a:ext uri="{FF2B5EF4-FFF2-40B4-BE49-F238E27FC236}">
              <a16:creationId xmlns:a16="http://schemas.microsoft.com/office/drawing/2014/main" id="{7DAA22BF-BCC8-3B45-81F0-301EFC49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U42" sqref="U42"/>
    </sheetView>
  </sheetViews>
  <sheetFormatPr defaultRowHeight="15.7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workbookViewId="0">
      <selection activeCell="F21" sqref="F21"/>
    </sheetView>
  </sheetViews>
  <sheetFormatPr defaultColWidth="11" defaultRowHeight="15.75" x14ac:dyDescent="0.25"/>
  <cols>
    <col min="2" max="2" width="11.875" customWidth="1"/>
    <col min="3" max="3" width="20" customWidth="1"/>
    <col min="4" max="4" width="17.5" customWidth="1"/>
    <col min="5" max="5" width="14.875" customWidth="1"/>
  </cols>
  <sheetData>
    <row r="1" spans="1:7" x14ac:dyDescent="0.25">
      <c r="A1" t="s">
        <v>0</v>
      </c>
    </row>
    <row r="2" spans="1:7" x14ac:dyDescent="0.25">
      <c r="A2" s="1" t="s">
        <v>1</v>
      </c>
    </row>
    <row r="3" spans="1:7" x14ac:dyDescent="0.25">
      <c r="A3" s="29" t="s">
        <v>2</v>
      </c>
      <c r="B3" s="30" t="s">
        <v>3</v>
      </c>
      <c r="C3" s="30" t="s">
        <v>4</v>
      </c>
      <c r="D3" s="30" t="s">
        <v>5</v>
      </c>
      <c r="E3" s="30" t="s">
        <v>6</v>
      </c>
      <c r="F3" s="30" t="s">
        <v>7</v>
      </c>
      <c r="G3" s="30" t="s">
        <v>8</v>
      </c>
    </row>
    <row r="4" spans="1:7" x14ac:dyDescent="0.25">
      <c r="A4" s="31" t="s">
        <v>9</v>
      </c>
      <c r="B4" s="31" t="s">
        <v>10</v>
      </c>
      <c r="C4" s="31" t="s">
        <v>11</v>
      </c>
      <c r="D4" s="31" t="s">
        <v>12</v>
      </c>
      <c r="E4" s="32">
        <v>97</v>
      </c>
      <c r="F4" s="32">
        <v>13966</v>
      </c>
      <c r="G4" s="33">
        <v>7.97</v>
      </c>
    </row>
    <row r="5" spans="1:7" x14ac:dyDescent="0.25">
      <c r="A5" s="31" t="s">
        <v>13</v>
      </c>
      <c r="B5" s="31" t="s">
        <v>14</v>
      </c>
      <c r="C5" s="31" t="s">
        <v>15</v>
      </c>
      <c r="D5" s="31" t="s">
        <v>16</v>
      </c>
      <c r="E5" s="31">
        <v>97</v>
      </c>
      <c r="F5" s="31">
        <v>12392</v>
      </c>
      <c r="G5" s="33">
        <v>5.78</v>
      </c>
    </row>
    <row r="6" spans="1:7" x14ac:dyDescent="0.25">
      <c r="A6" s="31" t="s">
        <v>17</v>
      </c>
      <c r="B6" s="31" t="s">
        <v>18</v>
      </c>
      <c r="C6" s="31" t="s">
        <v>19</v>
      </c>
      <c r="D6" s="31" t="s">
        <v>20</v>
      </c>
      <c r="E6" s="31">
        <v>96</v>
      </c>
      <c r="F6" s="31">
        <v>12333</v>
      </c>
      <c r="G6" s="33">
        <v>5.37</v>
      </c>
    </row>
    <row r="7" spans="1:7" x14ac:dyDescent="0.25">
      <c r="A7" s="31" t="s">
        <v>21</v>
      </c>
      <c r="B7" s="31" t="s">
        <v>22</v>
      </c>
      <c r="C7" s="31" t="s">
        <v>23</v>
      </c>
      <c r="D7" s="31" t="s">
        <v>24</v>
      </c>
      <c r="E7" s="32">
        <v>97</v>
      </c>
      <c r="F7" s="32">
        <v>10094.017094017094</v>
      </c>
      <c r="G7" s="33">
        <v>5.92</v>
      </c>
    </row>
    <row r="8" spans="1:7" x14ac:dyDescent="0.25">
      <c r="A8" s="31" t="s">
        <v>25</v>
      </c>
      <c r="B8" s="31" t="s">
        <v>26</v>
      </c>
      <c r="C8" s="31" t="s">
        <v>27</v>
      </c>
      <c r="D8" s="31" t="s">
        <v>28</v>
      </c>
      <c r="E8" s="31">
        <v>97</v>
      </c>
      <c r="F8" s="31">
        <v>7198</v>
      </c>
      <c r="G8" s="33">
        <v>4.1500000000000004</v>
      </c>
    </row>
    <row r="9" spans="1:7" x14ac:dyDescent="0.25">
      <c r="A9" s="31" t="s">
        <v>29</v>
      </c>
      <c r="B9" s="31" t="s">
        <v>30</v>
      </c>
      <c r="C9" s="31" t="s">
        <v>31</v>
      </c>
      <c r="D9" s="31" t="s">
        <v>32</v>
      </c>
      <c r="E9" s="32">
        <v>96</v>
      </c>
      <c r="F9" s="32">
        <v>9277.4566473988452</v>
      </c>
      <c r="G9" s="33">
        <v>4.01</v>
      </c>
    </row>
    <row r="10" spans="1:7" x14ac:dyDescent="0.25">
      <c r="A10" s="31" t="s">
        <v>33</v>
      </c>
      <c r="B10" s="31" t="s">
        <v>34</v>
      </c>
      <c r="C10" s="31" t="s">
        <v>35</v>
      </c>
      <c r="D10" s="31" t="s">
        <v>36</v>
      </c>
      <c r="E10" s="32">
        <v>97</v>
      </c>
      <c r="F10" s="32">
        <v>11111.940298507461</v>
      </c>
      <c r="G10" s="33">
        <v>5.17</v>
      </c>
    </row>
    <row r="11" spans="1:7" x14ac:dyDescent="0.25">
      <c r="A11" s="31" t="s">
        <v>37</v>
      </c>
      <c r="B11" s="31" t="s">
        <v>38</v>
      </c>
      <c r="C11" s="31" t="s">
        <v>39</v>
      </c>
      <c r="D11" s="31" t="s">
        <v>40</v>
      </c>
      <c r="E11" s="31">
        <v>97</v>
      </c>
      <c r="F11" s="31">
        <v>12033</v>
      </c>
      <c r="G11" s="33">
        <v>5.68</v>
      </c>
    </row>
    <row r="12" spans="1:7" x14ac:dyDescent="0.25">
      <c r="A12" s="31" t="s">
        <v>41</v>
      </c>
      <c r="B12" s="31" t="s">
        <v>42</v>
      </c>
      <c r="C12" s="31" t="s">
        <v>43</v>
      </c>
      <c r="D12" s="31" t="s">
        <v>44</v>
      </c>
      <c r="E12" s="32">
        <v>97</v>
      </c>
      <c r="F12" s="32">
        <v>12273.743016759778</v>
      </c>
      <c r="G12" s="33">
        <v>3.87</v>
      </c>
    </row>
    <row r="13" spans="1:7" x14ac:dyDescent="0.25">
      <c r="A13" s="31"/>
      <c r="B13" s="31"/>
      <c r="C13" s="31"/>
      <c r="D13" s="31"/>
      <c r="E13" s="31"/>
      <c r="F13" s="31"/>
      <c r="G13" s="33"/>
    </row>
    <row r="14" spans="1:7" x14ac:dyDescent="0.25">
      <c r="A14" s="34" t="s">
        <v>45</v>
      </c>
      <c r="B14" s="31"/>
      <c r="C14" s="31"/>
      <c r="D14" s="31"/>
      <c r="E14" s="31"/>
      <c r="F14" s="31"/>
      <c r="G14" s="33"/>
    </row>
    <row r="15" spans="1:7" x14ac:dyDescent="0.25">
      <c r="A15" s="29" t="s">
        <v>2</v>
      </c>
      <c r="B15" s="30" t="s">
        <v>3</v>
      </c>
      <c r="C15" s="30" t="s">
        <v>4</v>
      </c>
      <c r="D15" s="30" t="s">
        <v>5</v>
      </c>
      <c r="E15" s="30" t="s">
        <v>6</v>
      </c>
      <c r="F15" s="30" t="s">
        <v>7</v>
      </c>
      <c r="G15" s="35" t="s">
        <v>8</v>
      </c>
    </row>
    <row r="16" spans="1:7" x14ac:dyDescent="0.25">
      <c r="A16" t="s">
        <v>9</v>
      </c>
      <c r="B16" s="31" t="s">
        <v>46</v>
      </c>
      <c r="C16" s="31" t="s">
        <v>47</v>
      </c>
      <c r="D16" s="31" t="s">
        <v>48</v>
      </c>
      <c r="E16" s="31">
        <v>91</v>
      </c>
      <c r="F16" s="31">
        <v>4219</v>
      </c>
      <c r="G16" s="33">
        <v>2.17</v>
      </c>
    </row>
    <row r="17" spans="1:7" x14ac:dyDescent="0.25">
      <c r="A17" s="36" t="s">
        <v>13</v>
      </c>
      <c r="B17" s="31" t="s">
        <v>49</v>
      </c>
      <c r="C17" s="31" t="s">
        <v>50</v>
      </c>
      <c r="D17" s="31" t="s">
        <v>51</v>
      </c>
      <c r="E17" s="31">
        <v>96</v>
      </c>
      <c r="F17" s="31">
        <v>6189</v>
      </c>
      <c r="G17" s="33">
        <v>2.63</v>
      </c>
    </row>
    <row r="18" spans="1:7" x14ac:dyDescent="0.25">
      <c r="A18" t="s">
        <v>17</v>
      </c>
      <c r="B18" s="31" t="s">
        <v>52</v>
      </c>
      <c r="C18" s="31" t="s">
        <v>53</v>
      </c>
      <c r="D18" s="31" t="s">
        <v>54</v>
      </c>
      <c r="E18" s="31">
        <v>86</v>
      </c>
      <c r="F18" s="31">
        <v>3595</v>
      </c>
      <c r="G18" s="33">
        <v>1.87</v>
      </c>
    </row>
    <row r="19" spans="1:7" x14ac:dyDescent="0.25">
      <c r="A19" t="s">
        <v>21</v>
      </c>
      <c r="B19" s="31" t="s">
        <v>55</v>
      </c>
      <c r="C19" s="31" t="s">
        <v>56</v>
      </c>
      <c r="D19" s="31" t="s">
        <v>57</v>
      </c>
      <c r="E19" s="31">
        <v>95</v>
      </c>
      <c r="F19" s="31">
        <v>7996</v>
      </c>
      <c r="G19" s="33">
        <v>2.92</v>
      </c>
    </row>
    <row r="20" spans="1:7" x14ac:dyDescent="0.25">
      <c r="A20" t="s">
        <v>25</v>
      </c>
      <c r="B20" s="31" t="s">
        <v>58</v>
      </c>
      <c r="C20" s="31" t="s">
        <v>59</v>
      </c>
      <c r="D20" s="31" t="s">
        <v>60</v>
      </c>
      <c r="E20" s="31">
        <v>97</v>
      </c>
      <c r="F20" s="31">
        <v>9523</v>
      </c>
      <c r="G20" s="33">
        <v>6.24</v>
      </c>
    </row>
    <row r="21" spans="1:7" x14ac:dyDescent="0.25">
      <c r="A21" t="s">
        <v>29</v>
      </c>
      <c r="B21" s="31" t="s">
        <v>61</v>
      </c>
      <c r="C21" s="31" t="s">
        <v>62</v>
      </c>
      <c r="D21" s="31" t="s">
        <v>63</v>
      </c>
      <c r="E21" s="31">
        <v>94</v>
      </c>
      <c r="F21" s="32">
        <v>5095</v>
      </c>
      <c r="G21" s="33">
        <v>2.4300000000000002</v>
      </c>
    </row>
    <row r="22" spans="1:7" x14ac:dyDescent="0.25">
      <c r="A22" t="s">
        <v>33</v>
      </c>
      <c r="B22" s="31" t="s">
        <v>64</v>
      </c>
      <c r="C22" s="31" t="s">
        <v>65</v>
      </c>
      <c r="D22" s="31" t="s">
        <v>66</v>
      </c>
      <c r="E22" s="31">
        <v>97</v>
      </c>
      <c r="F22" s="32">
        <v>7953</v>
      </c>
      <c r="G22" s="33">
        <v>3.69</v>
      </c>
    </row>
    <row r="23" spans="1:7" x14ac:dyDescent="0.25">
      <c r="A23" t="s">
        <v>37</v>
      </c>
      <c r="B23" s="31" t="s">
        <v>67</v>
      </c>
      <c r="C23" s="31" t="s">
        <v>68</v>
      </c>
      <c r="D23" s="31" t="s">
        <v>69</v>
      </c>
      <c r="E23" s="31">
        <v>98</v>
      </c>
      <c r="F23" s="32">
        <v>13838</v>
      </c>
      <c r="G23" s="33">
        <v>7</v>
      </c>
    </row>
    <row r="24" spans="1:7" x14ac:dyDescent="0.25">
      <c r="A24" t="s">
        <v>41</v>
      </c>
      <c r="B24" s="31" t="s">
        <v>70</v>
      </c>
      <c r="C24" s="31" t="s">
        <v>71</v>
      </c>
      <c r="D24" s="31" t="s">
        <v>72</v>
      </c>
      <c r="E24" s="31">
        <v>98</v>
      </c>
      <c r="F24" s="31">
        <v>7416</v>
      </c>
      <c r="G24" s="33">
        <v>4.3099999999999996</v>
      </c>
    </row>
    <row r="27" spans="1:7" x14ac:dyDescent="0.25">
      <c r="A27" t="s">
        <v>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G24"/>
  <sheetViews>
    <sheetView workbookViewId="0">
      <selection activeCell="D16" sqref="D16"/>
    </sheetView>
  </sheetViews>
  <sheetFormatPr defaultColWidth="11" defaultRowHeight="15.75" x14ac:dyDescent="0.25"/>
  <cols>
    <col min="2" max="2" width="24.125" customWidth="1"/>
    <col min="3" max="3" width="27.875" customWidth="1"/>
    <col min="4" max="4" width="17.5" customWidth="1"/>
    <col min="5" max="5" width="7.875" customWidth="1"/>
    <col min="6" max="6" width="21.5" customWidth="1"/>
  </cols>
  <sheetData>
    <row r="1" spans="1:7" x14ac:dyDescent="0.25">
      <c r="A1" s="1" t="s">
        <v>74</v>
      </c>
    </row>
    <row r="3" spans="1:7" x14ac:dyDescent="0.25">
      <c r="A3" t="s">
        <v>75</v>
      </c>
      <c r="B3" t="s">
        <v>76</v>
      </c>
      <c r="C3" t="s">
        <v>77</v>
      </c>
      <c r="D3" t="s">
        <v>78</v>
      </c>
      <c r="E3" t="s">
        <v>79</v>
      </c>
      <c r="F3" t="s">
        <v>80</v>
      </c>
    </row>
    <row r="4" spans="1:7" x14ac:dyDescent="0.25">
      <c r="A4" t="s">
        <v>81</v>
      </c>
      <c r="B4">
        <v>6.7919999999999994E-2</v>
      </c>
      <c r="C4">
        <v>6.9529999999999995E-2</v>
      </c>
      <c r="D4">
        <f t="shared" ref="D4:D24" si="0">C4-B4</f>
        <v>1.6100000000000003E-3</v>
      </c>
      <c r="E4">
        <v>15</v>
      </c>
      <c r="F4" s="2">
        <f t="shared" ref="F4:F24" si="1">D4/E4</f>
        <v>1.0733333333333336E-4</v>
      </c>
      <c r="G4" s="6"/>
    </row>
    <row r="5" spans="1:7" x14ac:dyDescent="0.25">
      <c r="A5" t="s">
        <v>82</v>
      </c>
      <c r="B5">
        <v>7.8770000000000007E-2</v>
      </c>
      <c r="C5">
        <v>7.9850000000000004E-2</v>
      </c>
      <c r="D5">
        <f t="shared" si="0"/>
        <v>1.0799999999999976E-3</v>
      </c>
      <c r="E5">
        <v>15</v>
      </c>
      <c r="F5" s="2">
        <f t="shared" si="1"/>
        <v>7.1999999999999839E-5</v>
      </c>
    </row>
    <row r="6" spans="1:7" x14ac:dyDescent="0.25">
      <c r="A6" t="s">
        <v>83</v>
      </c>
      <c r="B6">
        <v>6.4619999999999997E-2</v>
      </c>
      <c r="C6">
        <v>6.615E-2</v>
      </c>
      <c r="D6">
        <f t="shared" si="0"/>
        <v>1.5300000000000036E-3</v>
      </c>
      <c r="E6">
        <v>15</v>
      </c>
      <c r="F6" s="2">
        <f t="shared" si="1"/>
        <v>1.0200000000000024E-4</v>
      </c>
    </row>
    <row r="7" spans="1:7" x14ac:dyDescent="0.25">
      <c r="A7" t="s">
        <v>84</v>
      </c>
      <c r="B7">
        <v>7.5009999999999993E-2</v>
      </c>
      <c r="C7">
        <v>7.6789999999999997E-2</v>
      </c>
      <c r="D7">
        <f t="shared" si="0"/>
        <v>1.7800000000000038E-3</v>
      </c>
      <c r="E7">
        <v>15</v>
      </c>
      <c r="F7" s="2">
        <f t="shared" si="1"/>
        <v>1.1866666666666692E-4</v>
      </c>
    </row>
    <row r="8" spans="1:7" x14ac:dyDescent="0.25">
      <c r="A8" t="s">
        <v>85</v>
      </c>
      <c r="B8">
        <v>7.0489999999999997E-2</v>
      </c>
      <c r="C8">
        <v>7.1800000000000003E-2</v>
      </c>
      <c r="D8">
        <f t="shared" si="0"/>
        <v>1.3100000000000056E-3</v>
      </c>
      <c r="E8">
        <v>15</v>
      </c>
      <c r="F8" s="2">
        <f t="shared" si="1"/>
        <v>8.7333333333333712E-5</v>
      </c>
    </row>
    <row r="9" spans="1:7" x14ac:dyDescent="0.25">
      <c r="A9" t="s">
        <v>86</v>
      </c>
      <c r="B9">
        <v>6.8900000000000003E-2</v>
      </c>
      <c r="C9">
        <v>7.041E-2</v>
      </c>
      <c r="D9">
        <f t="shared" si="0"/>
        <v>1.5099999999999975E-3</v>
      </c>
      <c r="E9">
        <v>15</v>
      </c>
      <c r="F9" s="2">
        <f t="shared" si="1"/>
        <v>1.0066666666666649E-4</v>
      </c>
    </row>
    <row r="10" spans="1:7" x14ac:dyDescent="0.25">
      <c r="A10" t="s">
        <v>87</v>
      </c>
      <c r="B10">
        <v>7.5139999999999998E-2</v>
      </c>
      <c r="C10">
        <v>7.6770000000000005E-2</v>
      </c>
      <c r="D10">
        <f t="shared" si="0"/>
        <v>1.6300000000000064E-3</v>
      </c>
      <c r="E10">
        <v>15</v>
      </c>
      <c r="F10" s="2">
        <f t="shared" si="1"/>
        <v>1.0866666666666709E-4</v>
      </c>
    </row>
    <row r="11" spans="1:7" x14ac:dyDescent="0.25">
      <c r="A11" t="s">
        <v>88</v>
      </c>
      <c r="B11">
        <v>6.9320000000000007E-2</v>
      </c>
      <c r="C11">
        <v>7.0730000000000001E-2</v>
      </c>
      <c r="D11">
        <f t="shared" si="0"/>
        <v>1.4099999999999946E-3</v>
      </c>
      <c r="E11">
        <v>12</v>
      </c>
      <c r="F11" s="2">
        <f t="shared" si="1"/>
        <v>1.1749999999999955E-4</v>
      </c>
    </row>
    <row r="12" spans="1:7" x14ac:dyDescent="0.25">
      <c r="A12" t="s">
        <v>89</v>
      </c>
      <c r="B12">
        <v>6.1859999999999998E-2</v>
      </c>
      <c r="C12">
        <v>6.3369999999999996E-2</v>
      </c>
      <c r="D12">
        <f t="shared" si="0"/>
        <v>1.5099999999999975E-3</v>
      </c>
      <c r="E12">
        <v>12</v>
      </c>
      <c r="F12" s="2">
        <f t="shared" si="1"/>
        <v>1.2583333333333313E-4</v>
      </c>
    </row>
    <row r="13" spans="1:7" x14ac:dyDescent="0.25">
      <c r="A13" t="s">
        <v>90</v>
      </c>
      <c r="B13">
        <v>7.2289999999999993E-2</v>
      </c>
      <c r="C13">
        <v>7.4050000000000005E-2</v>
      </c>
      <c r="D13">
        <f t="shared" si="0"/>
        <v>1.7600000000000116E-3</v>
      </c>
      <c r="E13">
        <v>15</v>
      </c>
      <c r="F13" s="2">
        <f t="shared" si="1"/>
        <v>1.173333333333341E-4</v>
      </c>
    </row>
    <row r="14" spans="1:7" x14ac:dyDescent="0.25">
      <c r="A14" t="s">
        <v>91</v>
      </c>
      <c r="B14">
        <v>6.9010000000000002E-2</v>
      </c>
      <c r="C14">
        <v>7.0739999999999997E-2</v>
      </c>
      <c r="D14">
        <f t="shared" si="0"/>
        <v>1.7299999999999954E-3</v>
      </c>
      <c r="E14">
        <v>15</v>
      </c>
      <c r="F14" s="2">
        <f t="shared" si="1"/>
        <v>1.1533333333333302E-4</v>
      </c>
    </row>
    <row r="15" spans="1:7" x14ac:dyDescent="0.25">
      <c r="A15" t="s">
        <v>92</v>
      </c>
      <c r="B15">
        <v>6.8049999999999999E-2</v>
      </c>
      <c r="C15">
        <v>6.9650000000000004E-2</v>
      </c>
      <c r="D15">
        <f t="shared" si="0"/>
        <v>1.6000000000000042E-3</v>
      </c>
      <c r="E15">
        <v>15</v>
      </c>
      <c r="F15" s="2">
        <f t="shared" si="1"/>
        <v>1.0666666666666695E-4</v>
      </c>
    </row>
    <row r="16" spans="1:7" x14ac:dyDescent="0.25">
      <c r="A16" t="s">
        <v>93</v>
      </c>
      <c r="B16">
        <v>6.6489999999999994E-2</v>
      </c>
      <c r="C16">
        <v>6.7860000000000004E-2</v>
      </c>
      <c r="D16">
        <f t="shared" si="0"/>
        <v>1.3700000000000101E-3</v>
      </c>
      <c r="E16">
        <v>15</v>
      </c>
      <c r="F16" s="2">
        <f t="shared" si="1"/>
        <v>9.1333333333334013E-5</v>
      </c>
    </row>
    <row r="17" spans="1:6" x14ac:dyDescent="0.25">
      <c r="A17" t="s">
        <v>94</v>
      </c>
      <c r="B17">
        <v>6.5780000000000005E-2</v>
      </c>
      <c r="C17">
        <v>6.7070000000000005E-2</v>
      </c>
      <c r="D17">
        <f t="shared" si="0"/>
        <v>1.2899999999999995E-3</v>
      </c>
      <c r="E17">
        <v>15</v>
      </c>
      <c r="F17" s="2">
        <f t="shared" si="1"/>
        <v>8.5999999999999963E-5</v>
      </c>
    </row>
    <row r="18" spans="1:6" x14ac:dyDescent="0.25">
      <c r="A18" t="s">
        <v>95</v>
      </c>
      <c r="B18">
        <v>6.8229999999999999E-2</v>
      </c>
      <c r="C18">
        <v>6.9779999999999995E-2</v>
      </c>
      <c r="D18">
        <f t="shared" si="0"/>
        <v>1.5499999999999958E-3</v>
      </c>
      <c r="E18">
        <v>15</v>
      </c>
      <c r="F18" s="2">
        <f t="shared" si="1"/>
        <v>1.0333333333333306E-4</v>
      </c>
    </row>
    <row r="19" spans="1:6" x14ac:dyDescent="0.25">
      <c r="A19" t="s">
        <v>96</v>
      </c>
      <c r="B19">
        <v>6.5579999999999999E-2</v>
      </c>
      <c r="C19">
        <v>6.7119999999999999E-2</v>
      </c>
      <c r="D19">
        <f t="shared" si="0"/>
        <v>1.5399999999999997E-3</v>
      </c>
      <c r="E19">
        <v>15</v>
      </c>
      <c r="F19" s="2">
        <f t="shared" si="1"/>
        <v>1.0266666666666665E-4</v>
      </c>
    </row>
    <row r="20" spans="1:6" x14ac:dyDescent="0.25">
      <c r="A20" t="s">
        <v>97</v>
      </c>
      <c r="B20">
        <v>7.7549999999999994E-2</v>
      </c>
      <c r="C20">
        <v>7.8670000000000004E-2</v>
      </c>
      <c r="D20">
        <f t="shared" si="0"/>
        <v>1.1200000000000099E-3</v>
      </c>
      <c r="E20">
        <v>14</v>
      </c>
      <c r="F20" s="2">
        <f t="shared" si="1"/>
        <v>8.0000000000000711E-5</v>
      </c>
    </row>
    <row r="21" spans="1:6" x14ac:dyDescent="0.25">
      <c r="A21" t="s">
        <v>98</v>
      </c>
      <c r="B21">
        <v>6.2810000000000005E-2</v>
      </c>
      <c r="C21">
        <v>6.4339999999999994E-2</v>
      </c>
      <c r="D21">
        <f t="shared" si="0"/>
        <v>1.5299999999999897E-3</v>
      </c>
      <c r="E21">
        <v>17</v>
      </c>
      <c r="F21" s="2">
        <f t="shared" si="1"/>
        <v>8.9999999999999396E-5</v>
      </c>
    </row>
    <row r="22" spans="1:6" x14ac:dyDescent="0.25">
      <c r="A22" t="s">
        <v>99</v>
      </c>
      <c r="B22">
        <v>6.9650000000000004E-2</v>
      </c>
      <c r="C22">
        <v>7.1169999999999997E-2</v>
      </c>
      <c r="D22">
        <f t="shared" si="0"/>
        <v>1.5199999999999936E-3</v>
      </c>
      <c r="E22">
        <v>15</v>
      </c>
      <c r="F22" s="2">
        <f t="shared" si="1"/>
        <v>1.013333333333329E-4</v>
      </c>
    </row>
    <row r="23" spans="1:6" x14ac:dyDescent="0.25">
      <c r="A23" t="s">
        <v>100</v>
      </c>
      <c r="B23">
        <v>7.0050000000000001E-2</v>
      </c>
      <c r="C23">
        <v>7.1889999999999996E-2</v>
      </c>
      <c r="D23">
        <f t="shared" si="0"/>
        <v>1.8399999999999944E-3</v>
      </c>
      <c r="E23">
        <v>15</v>
      </c>
      <c r="F23" s="2">
        <f t="shared" si="1"/>
        <v>1.226666666666663E-4</v>
      </c>
    </row>
    <row r="24" spans="1:6" x14ac:dyDescent="0.25">
      <c r="A24" t="s">
        <v>101</v>
      </c>
      <c r="B24">
        <v>6.1100000000000002E-2</v>
      </c>
      <c r="C24">
        <v>6.2530000000000002E-2</v>
      </c>
      <c r="D24">
        <f t="shared" si="0"/>
        <v>1.4300000000000007E-3</v>
      </c>
      <c r="E24">
        <v>15</v>
      </c>
      <c r="F24" s="2">
        <f t="shared" si="1"/>
        <v>9.5333333333333378E-5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O52"/>
  <sheetViews>
    <sheetView topLeftCell="A26" workbookViewId="0">
      <selection activeCell="H10" sqref="H10"/>
    </sheetView>
  </sheetViews>
  <sheetFormatPr defaultColWidth="11" defaultRowHeight="15.75" x14ac:dyDescent="0.25"/>
  <cols>
    <col min="1" max="1" width="13" customWidth="1"/>
    <col min="2" max="2" width="23.625" customWidth="1"/>
    <col min="3" max="3" width="9.5" customWidth="1"/>
    <col min="4" max="4" width="9.625" customWidth="1"/>
    <col min="5" max="5" width="15.375" customWidth="1"/>
    <col min="10" max="10" width="15.375" customWidth="1"/>
  </cols>
  <sheetData>
    <row r="1" spans="1:15" x14ac:dyDescent="0.25">
      <c r="D1" t="s">
        <v>102</v>
      </c>
      <c r="E1">
        <v>21</v>
      </c>
    </row>
    <row r="3" spans="1:15" x14ac:dyDescent="0.25">
      <c r="A3" t="s">
        <v>75</v>
      </c>
      <c r="B3" t="s">
        <v>103</v>
      </c>
      <c r="C3" t="s">
        <v>104</v>
      </c>
      <c r="D3" t="s">
        <v>105</v>
      </c>
      <c r="E3" t="s">
        <v>106</v>
      </c>
      <c r="F3" t="s">
        <v>107</v>
      </c>
    </row>
    <row r="4" spans="1:15" x14ac:dyDescent="0.25">
      <c r="A4" t="s">
        <v>108</v>
      </c>
      <c r="B4">
        <v>0</v>
      </c>
      <c r="D4">
        <v>0</v>
      </c>
      <c r="E4">
        <v>0</v>
      </c>
      <c r="G4">
        <v>0</v>
      </c>
    </row>
    <row r="5" spans="1:15" x14ac:dyDescent="0.25">
      <c r="A5" t="s">
        <v>109</v>
      </c>
      <c r="B5">
        <v>3</v>
      </c>
      <c r="D5">
        <v>0</v>
      </c>
      <c r="E5">
        <v>0</v>
      </c>
      <c r="G5">
        <v>0</v>
      </c>
    </row>
    <row r="6" spans="1:15" x14ac:dyDescent="0.25">
      <c r="A6" t="s">
        <v>81</v>
      </c>
      <c r="B6">
        <v>267</v>
      </c>
      <c r="C6" s="4">
        <f>(B6*391)/(2220000*10.9)*1000/('Mosher Masses 0.2 18'!D4)</f>
        <v>2679.6783677517615</v>
      </c>
      <c r="D6" s="5">
        <f>(B6*391)/(2220000*10.9)*1000/('Mosher Masses 0.2 18'!E4)</f>
        <v>0.28761881147202245</v>
      </c>
      <c r="E6" s="4">
        <f>AVERAGE(C6:C8)</f>
        <v>2101.8761589607661</v>
      </c>
      <c r="F6" s="3">
        <f>STDEV(C6:C8)/E6</f>
        <v>0.24090350895177839</v>
      </c>
      <c r="G6">
        <v>3</v>
      </c>
      <c r="I6" t="s">
        <v>110</v>
      </c>
      <c r="J6" t="s">
        <v>106</v>
      </c>
    </row>
    <row r="7" spans="1:15" x14ac:dyDescent="0.25">
      <c r="A7" t="s">
        <v>82</v>
      </c>
      <c r="B7">
        <v>116</v>
      </c>
      <c r="C7" s="4">
        <f>(B7*391)/(2220000*10.9)*1000/('Mosher Masses 0.2 18'!D5)</f>
        <v>1735.5275765061735</v>
      </c>
      <c r="D7" s="5">
        <f>(B7*391)/(2220000*10.9)*1000/('Mosher Masses 0.2 18'!E5)</f>
        <v>0.12495798550844422</v>
      </c>
      <c r="G7">
        <v>3</v>
      </c>
      <c r="I7">
        <v>3</v>
      </c>
      <c r="J7">
        <v>2102</v>
      </c>
    </row>
    <row r="8" spans="1:15" x14ac:dyDescent="0.25">
      <c r="A8" t="s">
        <v>83</v>
      </c>
      <c r="B8">
        <v>179</v>
      </c>
      <c r="C8" s="4">
        <f>(B8*391)/(2220000*10.9)*1000/('Mosher Masses 0.2 18'!D6)</f>
        <v>1890.4225326243629</v>
      </c>
      <c r="D8" s="5">
        <f>(B8*391)/(2220000*10.9)*1000/('Mosher Masses 0.2 18'!E6)</f>
        <v>0.19282309832768546</v>
      </c>
      <c r="G8">
        <v>3</v>
      </c>
      <c r="I8">
        <v>6</v>
      </c>
      <c r="J8">
        <v>2033</v>
      </c>
    </row>
    <row r="9" spans="1:15" x14ac:dyDescent="0.25">
      <c r="A9" t="s">
        <v>84</v>
      </c>
      <c r="B9">
        <v>211</v>
      </c>
      <c r="C9" s="4">
        <f>(B9*391)/(2220000*10.9)*1000/('Mosher Masses 0.2 18'!D7)</f>
        <v>1915.401124245569</v>
      </c>
      <c r="D9" s="5">
        <f>(B9*391)/(2220000*10.9)*1000/('Mosher Masses 0.2 18'!E7)</f>
        <v>0.22729426674380801</v>
      </c>
      <c r="E9" s="4">
        <f>AVERAGE(C9:C11)</f>
        <v>2032.8515949242658</v>
      </c>
      <c r="F9" s="3">
        <f>STDEV(C9:C11)/E9</f>
        <v>0.20385635116626377</v>
      </c>
      <c r="G9">
        <v>6</v>
      </c>
      <c r="I9">
        <v>12</v>
      </c>
      <c r="J9">
        <v>2941</v>
      </c>
    </row>
    <row r="10" spans="1:15" x14ac:dyDescent="0.25">
      <c r="A10" t="s">
        <v>85</v>
      </c>
      <c r="B10">
        <v>137</v>
      </c>
      <c r="C10" s="4">
        <f>(B10*391)/(2220000*10.9)*1000/('Mosher Masses 0.2 18'!D8)</f>
        <v>1689.8437761243206</v>
      </c>
      <c r="D10" s="5">
        <f>(B10*391)/(2220000*10.9)*1000/('Mosher Masses 0.2 18'!E8)</f>
        <v>0.14757968978152464</v>
      </c>
      <c r="G10">
        <v>6</v>
      </c>
      <c r="I10">
        <v>24</v>
      </c>
      <c r="J10">
        <v>5682</v>
      </c>
    </row>
    <row r="11" spans="1:15" x14ac:dyDescent="0.25">
      <c r="A11" t="s">
        <v>86</v>
      </c>
      <c r="B11">
        <v>233</v>
      </c>
      <c r="C11" s="4">
        <f>(B11*391)/(2220000*10.9)*1000/('Mosher Masses 0.2 18'!D9)</f>
        <v>2493.3098844029078</v>
      </c>
      <c r="D11" s="5">
        <f>(B11*391)/(2220000*10.9)*1000/('Mosher Masses 0.2 18'!E9)</f>
        <v>0.25099319502989226</v>
      </c>
      <c r="G11">
        <v>6</v>
      </c>
      <c r="I11">
        <v>36</v>
      </c>
      <c r="J11">
        <v>6148</v>
      </c>
    </row>
    <row r="12" spans="1:15" x14ac:dyDescent="0.25">
      <c r="A12" t="s">
        <v>87</v>
      </c>
      <c r="B12">
        <v>315</v>
      </c>
      <c r="C12" s="4">
        <f>(B12*391)/(2220000*10.9)*1000/('Mosher Masses 0.2 18'!D10)</f>
        <v>3122.627890455874</v>
      </c>
      <c r="D12" s="5">
        <f>(B12*391)/(2220000*10.9)*1000/('Mosher Masses 0.2 18'!E10)</f>
        <v>0.33932556409620634</v>
      </c>
      <c r="E12" s="4">
        <f>AVERAGE(C12:C14)</f>
        <v>2940.8044555389019</v>
      </c>
      <c r="F12" s="3">
        <f>STDEV(C12:C14)/E12</f>
        <v>0.12264300180504661</v>
      </c>
      <c r="G12">
        <v>12</v>
      </c>
      <c r="I12">
        <v>48</v>
      </c>
      <c r="J12">
        <v>8176</v>
      </c>
    </row>
    <row r="13" spans="1:15" x14ac:dyDescent="0.25">
      <c r="A13" t="s">
        <v>88</v>
      </c>
      <c r="B13">
        <v>277</v>
      </c>
      <c r="C13" s="4">
        <f>(B13*391)/(2220000*10.9)*1000/('Mosher Masses 0.2 18'!D11)</f>
        <v>3174.3728893836369</v>
      </c>
      <c r="D13" s="5">
        <f>(B13*391)/(2220000*10.9)*1000/('Mosher Masses 0.2 18'!E11)</f>
        <v>0.37298881450257593</v>
      </c>
      <c r="G13">
        <v>12</v>
      </c>
    </row>
    <row r="14" spans="1:15" x14ac:dyDescent="0.25">
      <c r="A14" t="s">
        <v>89</v>
      </c>
      <c r="B14">
        <v>236</v>
      </c>
      <c r="C14" s="4">
        <f>(B14*391)/(2220000*10.9)*1000/('Mosher Masses 0.2 18'!D12)</f>
        <v>2525.4125867771941</v>
      </c>
      <c r="D14" s="5">
        <f>(B14*391)/(2220000*10.9)*1000/('Mosher Masses 0.2 18'!E12)</f>
        <v>0.31778108383612974</v>
      </c>
      <c r="G14">
        <v>12</v>
      </c>
    </row>
    <row r="15" spans="1:15" x14ac:dyDescent="0.25">
      <c r="A15" t="s">
        <v>90</v>
      </c>
      <c r="B15">
        <v>486</v>
      </c>
      <c r="C15" s="4">
        <f>(B15*391)/(2220000*10.9)*1000/('Mosher Masses 0.2 18'!D13)</f>
        <v>4461.9108265896966</v>
      </c>
      <c r="D15" s="5">
        <f>(B15*391)/(2220000*10.9)*1000/('Mosher Masses 0.2 18'!E13)</f>
        <v>0.52353087031986112</v>
      </c>
      <c r="E15" s="4">
        <f>AVERAGE(C15:C17)</f>
        <v>5682.0948629693303</v>
      </c>
      <c r="F15" s="3">
        <f>STDEV(C15:C17)/E15</f>
        <v>0.18665073235551571</v>
      </c>
      <c r="G15">
        <v>24</v>
      </c>
      <c r="O15" t="s">
        <v>111</v>
      </c>
    </row>
    <row r="16" spans="1:15" x14ac:dyDescent="0.25">
      <c r="A16" t="s">
        <v>91</v>
      </c>
      <c r="B16">
        <v>664</v>
      </c>
      <c r="C16" s="4">
        <f>(B16*391)/(2220000*10.9)*1000/('Mosher Masses 0.2 18'!D14)</f>
        <v>6201.8214852706187</v>
      </c>
      <c r="D16" s="5">
        <f>(B16*391)/(2220000*10.9)*1000/('Mosher Masses 0.2 18'!E14)</f>
        <v>0.71527674463454283</v>
      </c>
      <c r="G16">
        <v>24</v>
      </c>
    </row>
    <row r="17" spans="1:15" x14ac:dyDescent="0.25">
      <c r="A17" t="s">
        <v>92</v>
      </c>
      <c r="B17">
        <v>632</v>
      </c>
      <c r="C17" s="4">
        <f>(B17*391)/(2220000*10.9)*1000/('Mosher Masses 0.2 18'!D15)</f>
        <v>6382.5522770476737</v>
      </c>
      <c r="D17" s="5">
        <f>(B17*391)/(2220000*10.9)*1000/('Mosher Masses 0.2 18'!E15)</f>
        <v>0.68080557621842031</v>
      </c>
      <c r="G17">
        <v>24</v>
      </c>
    </row>
    <row r="18" spans="1:15" x14ac:dyDescent="0.25">
      <c r="A18" t="s">
        <v>93</v>
      </c>
      <c r="B18">
        <v>518</v>
      </c>
      <c r="C18" s="4">
        <f>(B18*391)/(2220000*10.9)*1000/('Mosher Masses 0.2 18'!D16)</f>
        <v>6109.5113730216735</v>
      </c>
      <c r="D18" s="5">
        <f>(B18*391)/(2220000*10.9)*1000/('Mosher Masses 0.2 18'!E16)</f>
        <v>0.55800203873598364</v>
      </c>
      <c r="E18" s="4">
        <f>AVERAGE(C18:C20)</f>
        <v>6148.1646786511046</v>
      </c>
      <c r="F18" s="3">
        <f>STDEV(C18:C20)/E18</f>
        <v>0.10123768003611164</v>
      </c>
      <c r="G18">
        <v>36</v>
      </c>
    </row>
    <row r="19" spans="1:15" x14ac:dyDescent="0.25">
      <c r="A19" t="s">
        <v>94</v>
      </c>
      <c r="B19">
        <v>542</v>
      </c>
      <c r="C19" s="4">
        <f>(B19*391)/(2220000*10.9)*1000/('Mosher Masses 0.2 18'!D17)</f>
        <v>6789.0164540473934</v>
      </c>
      <c r="D19" s="5">
        <f>(B19*391)/(2220000*10.9)*1000/('Mosher Masses 0.2 18'!E17)</f>
        <v>0.58385541504807559</v>
      </c>
      <c r="G19">
        <v>36</v>
      </c>
    </row>
    <row r="20" spans="1:15" x14ac:dyDescent="0.25">
      <c r="A20" t="s">
        <v>95</v>
      </c>
      <c r="B20">
        <v>532</v>
      </c>
      <c r="C20" s="4">
        <f>(B20*391)/(2220000*10.9)*1000/('Mosher Masses 0.2 18'!D18)</f>
        <v>5545.966208884246</v>
      </c>
      <c r="D20" s="5">
        <f>(B20*391)/(2220000*10.9)*1000/('Mosher Masses 0.2 18'!E18)</f>
        <v>0.57308317491803729</v>
      </c>
      <c r="G20">
        <v>36</v>
      </c>
    </row>
    <row r="21" spans="1:15" x14ac:dyDescent="0.25">
      <c r="A21" t="s">
        <v>96</v>
      </c>
      <c r="B21">
        <v>787</v>
      </c>
      <c r="C21" s="4">
        <f>(B21*391)/(2220000*10.9)*1000/('Mosher Masses 0.2 18'!D19)</f>
        <v>8257.5516061754606</v>
      </c>
      <c r="D21" s="5">
        <f>(B21*391)/(2220000*10.9)*1000/('Mosher Masses 0.2 18'!E19)</f>
        <v>0.84777529823401376</v>
      </c>
      <c r="E21" s="7">
        <f>AVERAGE(C21:C22)</f>
        <v>8175.5794055105634</v>
      </c>
      <c r="F21" s="3">
        <f>STDEV(C21:C23)/E21</f>
        <v>9.8119054863939001E-2</v>
      </c>
      <c r="G21">
        <v>48</v>
      </c>
    </row>
    <row r="22" spans="1:15" x14ac:dyDescent="0.25">
      <c r="A22" t="s">
        <v>97</v>
      </c>
      <c r="B22">
        <v>561</v>
      </c>
      <c r="C22" s="4">
        <f>(B22*391)/(2220000*10.9)*1000/('Mosher Masses 0.2 18'!D20)</f>
        <v>8093.6072048456654</v>
      </c>
      <c r="D22" s="5">
        <f>(B22*391)/(2220000*10.9)*1000/('Mosher Masses 0.2 18'!E21)</f>
        <v>0.53322588643689561</v>
      </c>
      <c r="G22">
        <v>48</v>
      </c>
    </row>
    <row r="23" spans="1:15" x14ac:dyDescent="0.25">
      <c r="A23" t="s">
        <v>98</v>
      </c>
      <c r="B23">
        <v>905</v>
      </c>
      <c r="C23" s="4">
        <f>(B23*391)/(2220000*10.9)*1000/('Mosher Masses 0.2 18'!D21)</f>
        <v>9557.7228604752181</v>
      </c>
      <c r="D23" s="5">
        <f>(B23*391)/(2220000*10.9)*1000/('Mosher Masses 0.2 18'!E22)</f>
        <v>0.97488773176846566</v>
      </c>
      <c r="G23">
        <v>48</v>
      </c>
    </row>
    <row r="24" spans="1:15" x14ac:dyDescent="0.25">
      <c r="A24" t="s">
        <v>99</v>
      </c>
      <c r="B24">
        <v>3</v>
      </c>
      <c r="C24" s="4">
        <f>(B24*391)/(2220000*10.9)*1000/('Mosher Masses 0.2 18'!D22)</f>
        <v>31.891500384981931</v>
      </c>
      <c r="D24" s="5">
        <f>(B24*391)/(2220000*10.9)*1000/('Mosher Masses 0.2 18'!E22)</f>
        <v>3.2316720390114886E-3</v>
      </c>
      <c r="E24" s="7">
        <f>AVERAGE(C24:C25)</f>
        <v>24.727467689804818</v>
      </c>
    </row>
    <row r="25" spans="1:15" x14ac:dyDescent="0.25">
      <c r="A25" t="s">
        <v>100</v>
      </c>
      <c r="B25">
        <v>2</v>
      </c>
      <c r="C25" s="4">
        <f>(B25*391)/(2220000*10.9)*1000/('Mosher Masses 0.2 18'!D23)</f>
        <v>17.563434994627709</v>
      </c>
      <c r="D25" s="5">
        <f>(B25*391)/(2220000*10.9)*1000/('Mosher Masses 0.2 18'!E23)</f>
        <v>2.1544480260076589E-3</v>
      </c>
    </row>
    <row r="26" spans="1:15" x14ac:dyDescent="0.25">
      <c r="A26" t="s">
        <v>101</v>
      </c>
      <c r="B26">
        <v>2</v>
      </c>
      <c r="C26" s="4">
        <f>(B26*391)/(2220000*10.9)*1000/('Mosher Masses 0.2 18'!D24)</f>
        <v>22.599105167912494</v>
      </c>
      <c r="D26" s="5">
        <f>(B26*391)/(2220000*10.9)*1000/('Mosher Masses 0.2 18'!E24)</f>
        <v>2.1544480260076589E-3</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0</v>
      </c>
      <c r="C32">
        <v>0</v>
      </c>
      <c r="D32">
        <v>3</v>
      </c>
      <c r="E32">
        <v>2</v>
      </c>
      <c r="F32">
        <v>2</v>
      </c>
      <c r="G32" s="9">
        <f t="shared" ref="G32:G38" si="0">(E32)/(SUM(B32+C32+D32+E32+F32))</f>
        <v>0.2857142857142857</v>
      </c>
      <c r="I32" t="s">
        <v>102</v>
      </c>
      <c r="J32">
        <v>21</v>
      </c>
      <c r="L32">
        <v>0</v>
      </c>
      <c r="M32">
        <v>0</v>
      </c>
      <c r="N32">
        <v>0</v>
      </c>
      <c r="O32">
        <v>0</v>
      </c>
    </row>
    <row r="33" spans="1:15" x14ac:dyDescent="0.25">
      <c r="A33" t="s">
        <v>123</v>
      </c>
      <c r="B33">
        <v>12</v>
      </c>
      <c r="C33">
        <v>0</v>
      </c>
      <c r="D33">
        <v>4</v>
      </c>
      <c r="E33">
        <v>268</v>
      </c>
      <c r="F33">
        <v>0</v>
      </c>
      <c r="G33" s="9">
        <f t="shared" si="0"/>
        <v>0.94366197183098588</v>
      </c>
      <c r="L33">
        <v>0</v>
      </c>
      <c r="M33">
        <v>0</v>
      </c>
      <c r="N33">
        <v>0</v>
      </c>
      <c r="O33">
        <v>0</v>
      </c>
    </row>
    <row r="34" spans="1:15" x14ac:dyDescent="0.25">
      <c r="A34" t="s">
        <v>124</v>
      </c>
      <c r="B34">
        <v>30</v>
      </c>
      <c r="C34">
        <v>1</v>
      </c>
      <c r="D34">
        <v>4</v>
      </c>
      <c r="E34">
        <v>279</v>
      </c>
      <c r="F34">
        <v>0</v>
      </c>
      <c r="G34" s="9">
        <f t="shared" si="0"/>
        <v>0.88853503184713378</v>
      </c>
      <c r="L34">
        <v>0</v>
      </c>
      <c r="M34">
        <v>0</v>
      </c>
      <c r="N34">
        <v>0</v>
      </c>
      <c r="O34">
        <v>0</v>
      </c>
    </row>
    <row r="35" spans="1:15" x14ac:dyDescent="0.25">
      <c r="A35" t="s">
        <v>125</v>
      </c>
      <c r="B35">
        <v>95</v>
      </c>
      <c r="C35">
        <v>5</v>
      </c>
      <c r="D35">
        <v>8</v>
      </c>
      <c r="E35">
        <v>407</v>
      </c>
      <c r="F35">
        <v>0</v>
      </c>
      <c r="G35" s="9">
        <f t="shared" si="0"/>
        <v>0.79029126213592238</v>
      </c>
      <c r="L35">
        <v>3</v>
      </c>
      <c r="M35">
        <v>2680</v>
      </c>
      <c r="N35" s="4">
        <f>M35*0.94</f>
        <v>2519.1999999999998</v>
      </c>
      <c r="O35" s="4">
        <f>M35-N35</f>
        <v>160.80000000000018</v>
      </c>
    </row>
    <row r="36" spans="1:15" x14ac:dyDescent="0.25">
      <c r="A36" t="s">
        <v>126</v>
      </c>
      <c r="B36">
        <v>227</v>
      </c>
      <c r="C36">
        <v>19</v>
      </c>
      <c r="D36">
        <v>10</v>
      </c>
      <c r="E36">
        <v>681</v>
      </c>
      <c r="F36">
        <v>2</v>
      </c>
      <c r="G36" s="9">
        <f t="shared" si="0"/>
        <v>0.72523961661341851</v>
      </c>
      <c r="L36">
        <v>3</v>
      </c>
      <c r="M36">
        <v>1736</v>
      </c>
      <c r="N36" s="4">
        <f t="shared" ref="N36:N37" si="1">M36*0.94</f>
        <v>1631.84</v>
      </c>
      <c r="O36" s="4">
        <f t="shared" ref="O36:O52" si="2">M36-N36</f>
        <v>104.16000000000008</v>
      </c>
    </row>
    <row r="37" spans="1:15" x14ac:dyDescent="0.25">
      <c r="A37" t="s">
        <v>127</v>
      </c>
      <c r="B37">
        <v>273</v>
      </c>
      <c r="C37">
        <v>17</v>
      </c>
      <c r="D37">
        <v>22</v>
      </c>
      <c r="E37">
        <v>569</v>
      </c>
      <c r="F37">
        <v>1</v>
      </c>
      <c r="G37" s="9">
        <f t="shared" si="0"/>
        <v>0.64512471655328796</v>
      </c>
      <c r="L37">
        <v>3</v>
      </c>
      <c r="M37">
        <v>1890</v>
      </c>
      <c r="N37" s="4">
        <f t="shared" si="1"/>
        <v>1776.6</v>
      </c>
      <c r="O37" s="4">
        <f t="shared" si="2"/>
        <v>113.40000000000009</v>
      </c>
    </row>
    <row r="38" spans="1:15" x14ac:dyDescent="0.25">
      <c r="A38" t="s">
        <v>128</v>
      </c>
      <c r="B38">
        <v>374</v>
      </c>
      <c r="C38">
        <v>34</v>
      </c>
      <c r="D38">
        <v>27</v>
      </c>
      <c r="E38">
        <v>644</v>
      </c>
      <c r="F38">
        <v>5</v>
      </c>
      <c r="G38" s="9">
        <f t="shared" si="0"/>
        <v>0.59409594095940954</v>
      </c>
      <c r="L38">
        <v>6</v>
      </c>
      <c r="M38">
        <v>1915</v>
      </c>
      <c r="N38" s="4">
        <f>M38*0.89</f>
        <v>1704.3500000000001</v>
      </c>
      <c r="O38" s="4">
        <f t="shared" si="2"/>
        <v>210.64999999999986</v>
      </c>
    </row>
    <row r="39" spans="1:15" x14ac:dyDescent="0.25">
      <c r="L39">
        <v>6</v>
      </c>
      <c r="M39">
        <v>1690</v>
      </c>
      <c r="N39" s="4">
        <f t="shared" ref="N39:N40" si="3">M39*0.89</f>
        <v>1504.1</v>
      </c>
      <c r="O39" s="4">
        <f t="shared" si="2"/>
        <v>185.90000000000009</v>
      </c>
    </row>
    <row r="40" spans="1:15" x14ac:dyDescent="0.25">
      <c r="L40">
        <v>6</v>
      </c>
      <c r="M40">
        <v>2493</v>
      </c>
      <c r="N40" s="4">
        <f t="shared" si="3"/>
        <v>2218.77</v>
      </c>
      <c r="O40" s="4">
        <f t="shared" si="2"/>
        <v>274.23</v>
      </c>
    </row>
    <row r="41" spans="1:15" x14ac:dyDescent="0.25">
      <c r="L41">
        <v>12</v>
      </c>
      <c r="M41">
        <v>3123</v>
      </c>
      <c r="N41" s="4">
        <f>M41*0.79</f>
        <v>2467.17</v>
      </c>
      <c r="O41" s="4">
        <f t="shared" si="2"/>
        <v>655.82999999999993</v>
      </c>
    </row>
    <row r="42" spans="1:15" x14ac:dyDescent="0.25">
      <c r="L42">
        <v>12</v>
      </c>
      <c r="M42">
        <v>3174</v>
      </c>
      <c r="N42" s="4">
        <f t="shared" ref="N42:N43" si="4">M42*0.79</f>
        <v>2507.46</v>
      </c>
      <c r="O42" s="4">
        <f t="shared" si="2"/>
        <v>666.54</v>
      </c>
    </row>
    <row r="43" spans="1:15" x14ac:dyDescent="0.25">
      <c r="L43">
        <v>12</v>
      </c>
      <c r="M43">
        <v>2525</v>
      </c>
      <c r="N43" s="4">
        <f t="shared" si="4"/>
        <v>1994.75</v>
      </c>
      <c r="O43" s="4">
        <f t="shared" si="2"/>
        <v>530.25</v>
      </c>
    </row>
    <row r="44" spans="1:15" x14ac:dyDescent="0.25">
      <c r="L44">
        <v>24</v>
      </c>
      <c r="M44">
        <v>4462</v>
      </c>
      <c r="N44" s="4">
        <f>M44*0.73</f>
        <v>3257.2599999999998</v>
      </c>
      <c r="O44" s="4">
        <f t="shared" si="2"/>
        <v>1204.7400000000002</v>
      </c>
    </row>
    <row r="45" spans="1:15" x14ac:dyDescent="0.25">
      <c r="L45">
        <v>24</v>
      </c>
      <c r="M45">
        <v>6202</v>
      </c>
      <c r="N45" s="4">
        <f t="shared" ref="N45:N46" si="5">M45*0.73</f>
        <v>4527.46</v>
      </c>
      <c r="O45" s="4">
        <f t="shared" si="2"/>
        <v>1674.54</v>
      </c>
    </row>
    <row r="46" spans="1:15" x14ac:dyDescent="0.25">
      <c r="L46">
        <v>24</v>
      </c>
      <c r="M46">
        <v>6383</v>
      </c>
      <c r="N46" s="4">
        <f t="shared" si="5"/>
        <v>4659.59</v>
      </c>
      <c r="O46" s="4">
        <f t="shared" si="2"/>
        <v>1723.4099999999999</v>
      </c>
    </row>
    <row r="47" spans="1:15" x14ac:dyDescent="0.25">
      <c r="L47">
        <v>36</v>
      </c>
      <c r="M47">
        <v>6110</v>
      </c>
      <c r="N47" s="4">
        <f>M47*0.65</f>
        <v>3971.5</v>
      </c>
      <c r="O47" s="4">
        <f t="shared" si="2"/>
        <v>2138.5</v>
      </c>
    </row>
    <row r="48" spans="1:15" x14ac:dyDescent="0.25">
      <c r="L48">
        <v>36</v>
      </c>
      <c r="M48">
        <v>6789</v>
      </c>
      <c r="N48" s="4">
        <f t="shared" ref="N48:N49" si="6">M48*0.65</f>
        <v>4412.8500000000004</v>
      </c>
      <c r="O48" s="4">
        <f t="shared" si="2"/>
        <v>2376.1499999999996</v>
      </c>
    </row>
    <row r="49" spans="12:15" x14ac:dyDescent="0.25">
      <c r="L49">
        <v>36</v>
      </c>
      <c r="M49">
        <v>5546</v>
      </c>
      <c r="N49" s="4">
        <f t="shared" si="6"/>
        <v>3604.9</v>
      </c>
      <c r="O49" s="4">
        <f t="shared" si="2"/>
        <v>1941.1</v>
      </c>
    </row>
    <row r="50" spans="12:15" x14ac:dyDescent="0.25">
      <c r="L50">
        <v>48</v>
      </c>
      <c r="M50">
        <v>8258</v>
      </c>
      <c r="N50" s="4">
        <f>M50*0.59</f>
        <v>4872.2199999999993</v>
      </c>
      <c r="O50" s="4">
        <f t="shared" si="2"/>
        <v>3385.7800000000007</v>
      </c>
    </row>
    <row r="51" spans="12:15" x14ac:dyDescent="0.25">
      <c r="L51">
        <v>48</v>
      </c>
      <c r="M51">
        <v>8094</v>
      </c>
      <c r="N51" s="4">
        <f t="shared" ref="N51:N52" si="7">M51*0.59</f>
        <v>4775.46</v>
      </c>
      <c r="O51" s="4">
        <f t="shared" si="2"/>
        <v>3318.54</v>
      </c>
    </row>
    <row r="52" spans="12:15" x14ac:dyDescent="0.25">
      <c r="L52">
        <v>48</v>
      </c>
      <c r="M52">
        <v>9558</v>
      </c>
      <c r="N52" s="4">
        <f t="shared" si="7"/>
        <v>5639.2199999999993</v>
      </c>
      <c r="O52" s="4">
        <f t="shared" si="2"/>
        <v>3918.7800000000007</v>
      </c>
    </row>
  </sheetData>
  <dataConsolidate/>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J46"/>
  <sheetViews>
    <sheetView workbookViewId="0">
      <selection activeCell="E10" sqref="E10"/>
    </sheetView>
  </sheetViews>
  <sheetFormatPr defaultColWidth="11" defaultRowHeight="15.75" x14ac:dyDescent="0.25"/>
  <cols>
    <col min="1" max="1" width="15.5" customWidth="1"/>
    <col min="2" max="2" width="22.375" customWidth="1"/>
    <col min="3" max="3" width="8.875" customWidth="1"/>
    <col min="4" max="4" width="11.125" customWidth="1"/>
    <col min="6" max="6" width="12.125" customWidth="1"/>
    <col min="10" max="10" width="13.5" customWidth="1"/>
  </cols>
  <sheetData>
    <row r="1" spans="1:10" x14ac:dyDescent="0.25">
      <c r="C1" t="s">
        <v>102</v>
      </c>
      <c r="D1">
        <v>21</v>
      </c>
    </row>
    <row r="3" spans="1:10" x14ac:dyDescent="0.25">
      <c r="A3" t="s">
        <v>75</v>
      </c>
      <c r="B3" t="s">
        <v>129</v>
      </c>
      <c r="C3" t="s">
        <v>130</v>
      </c>
      <c r="D3" t="s">
        <v>131</v>
      </c>
      <c r="E3" t="s">
        <v>132</v>
      </c>
      <c r="F3" t="s">
        <v>133</v>
      </c>
      <c r="H3" t="s">
        <v>134</v>
      </c>
      <c r="J3" t="s">
        <v>135</v>
      </c>
    </row>
    <row r="4" spans="1:10" x14ac:dyDescent="0.25">
      <c r="A4" t="s">
        <v>136</v>
      </c>
      <c r="B4">
        <v>1</v>
      </c>
      <c r="C4">
        <f>B4/10</f>
        <v>0.1</v>
      </c>
      <c r="D4" s="4">
        <f>(C4*391*1000)/(2220000*10.9)</f>
        <v>1.6158360195057443E-3</v>
      </c>
      <c r="E4" s="4"/>
      <c r="J4" s="4">
        <f>STDEV(F11,F14,F17,F20,F23,F26)/SQRT(COUNT(F11,F14,F17,F20,F23,F26))</f>
        <v>22.442166937579806</v>
      </c>
    </row>
    <row r="5" spans="1:10" x14ac:dyDescent="0.25">
      <c r="A5" t="s">
        <v>137</v>
      </c>
      <c r="B5">
        <v>60</v>
      </c>
      <c r="C5">
        <f>B5/2000</f>
        <v>0.03</v>
      </c>
      <c r="D5" s="2">
        <f>(C5*391*1000)/(2220000*10.9)</f>
        <v>4.8475080585172329E-4</v>
      </c>
      <c r="E5" s="4">
        <f>D5*1000*1000</f>
        <v>484.75080585172333</v>
      </c>
      <c r="H5" s="13"/>
    </row>
    <row r="6" spans="1:10" x14ac:dyDescent="0.25">
      <c r="A6" t="s">
        <v>138</v>
      </c>
      <c r="B6">
        <v>40</v>
      </c>
      <c r="C6">
        <f t="shared" ref="C6:C31" si="0">B6/2000</f>
        <v>0.02</v>
      </c>
      <c r="D6" s="2">
        <f t="shared" ref="D6:D31" si="1">(C6*391*1000)/(2220000*10.9)</f>
        <v>3.2316720390114886E-4</v>
      </c>
      <c r="E6" s="4">
        <f t="shared" ref="E6:E31" si="2">D6*1000*1000</f>
        <v>323.16720390114881</v>
      </c>
      <c r="H6" s="13"/>
    </row>
    <row r="7" spans="1:10" x14ac:dyDescent="0.25">
      <c r="A7" t="s">
        <v>139</v>
      </c>
      <c r="B7">
        <v>43</v>
      </c>
      <c r="C7">
        <f t="shared" si="0"/>
        <v>2.1499999999999998E-2</v>
      </c>
      <c r="D7" s="2">
        <f t="shared" si="1"/>
        <v>3.4740474419373501E-4</v>
      </c>
      <c r="E7" s="4">
        <f t="shared" si="2"/>
        <v>347.40474419373504</v>
      </c>
      <c r="H7" s="13"/>
    </row>
    <row r="8" spans="1:10" x14ac:dyDescent="0.25">
      <c r="A8" t="s">
        <v>140</v>
      </c>
      <c r="B8">
        <v>46</v>
      </c>
      <c r="C8">
        <f t="shared" si="0"/>
        <v>2.3E-2</v>
      </c>
      <c r="D8" s="2">
        <f t="shared" si="1"/>
        <v>3.7164228448632121E-4</v>
      </c>
      <c r="E8" s="4">
        <f t="shared" si="2"/>
        <v>371.64228448632122</v>
      </c>
      <c r="H8" s="13"/>
    </row>
    <row r="9" spans="1:10" x14ac:dyDescent="0.25">
      <c r="A9" t="s">
        <v>141</v>
      </c>
      <c r="B9">
        <v>40</v>
      </c>
      <c r="C9">
        <f t="shared" si="0"/>
        <v>0.02</v>
      </c>
      <c r="D9" s="2">
        <f t="shared" si="1"/>
        <v>3.2316720390114886E-4</v>
      </c>
      <c r="E9" s="4">
        <f t="shared" si="2"/>
        <v>323.16720390114881</v>
      </c>
      <c r="H9" s="13"/>
    </row>
    <row r="10" spans="1:10" x14ac:dyDescent="0.25">
      <c r="A10" t="s">
        <v>142</v>
      </c>
      <c r="B10">
        <v>50</v>
      </c>
      <c r="C10">
        <f t="shared" si="0"/>
        <v>2.5000000000000001E-2</v>
      </c>
      <c r="D10" s="2">
        <f t="shared" si="1"/>
        <v>4.0395900487643607E-4</v>
      </c>
      <c r="E10" s="4">
        <f t="shared" si="2"/>
        <v>403.9590048764361</v>
      </c>
      <c r="H10" s="13"/>
    </row>
    <row r="11" spans="1:10" x14ac:dyDescent="0.25">
      <c r="A11" t="s">
        <v>143</v>
      </c>
      <c r="B11">
        <v>60</v>
      </c>
      <c r="C11">
        <f t="shared" si="0"/>
        <v>0.03</v>
      </c>
      <c r="D11" s="2">
        <f t="shared" si="1"/>
        <v>4.8475080585172329E-4</v>
      </c>
      <c r="E11" s="4">
        <f t="shared" si="2"/>
        <v>484.75080585172333</v>
      </c>
      <c r="F11" s="4">
        <f>AVERAGE(E11:E13)</f>
        <v>409.34512494145525</v>
      </c>
      <c r="G11" s="3">
        <f>STDEV(E11:E13)/F11</f>
        <v>0.17016469942601986</v>
      </c>
      <c r="H11" s="13">
        <f>E11/1000</f>
        <v>0.48475080585172331</v>
      </c>
      <c r="I11">
        <v>3</v>
      </c>
    </row>
    <row r="12" spans="1:10" x14ac:dyDescent="0.25">
      <c r="A12" t="s">
        <v>144</v>
      </c>
      <c r="B12">
        <v>43</v>
      </c>
      <c r="C12">
        <f t="shared" si="0"/>
        <v>2.1499999999999998E-2</v>
      </c>
      <c r="D12" s="2">
        <f t="shared" si="1"/>
        <v>3.4740474419373501E-4</v>
      </c>
      <c r="E12" s="4">
        <f t="shared" si="2"/>
        <v>347.40474419373504</v>
      </c>
      <c r="H12" s="13">
        <f t="shared" ref="H12:H28" si="3">E12/1000</f>
        <v>0.34740474419373502</v>
      </c>
      <c r="I12">
        <v>3</v>
      </c>
    </row>
    <row r="13" spans="1:10" x14ac:dyDescent="0.25">
      <c r="A13" t="s">
        <v>145</v>
      </c>
      <c r="B13">
        <v>49</v>
      </c>
      <c r="C13">
        <f t="shared" si="0"/>
        <v>2.4500000000000001E-2</v>
      </c>
      <c r="D13" s="2">
        <f t="shared" si="1"/>
        <v>3.9587982477890741E-4</v>
      </c>
      <c r="E13" s="4">
        <f t="shared" si="2"/>
        <v>395.87982477890745</v>
      </c>
      <c r="H13" s="13">
        <f t="shared" si="3"/>
        <v>0.39587982477890743</v>
      </c>
      <c r="I13">
        <v>3</v>
      </c>
    </row>
    <row r="14" spans="1:10" x14ac:dyDescent="0.25">
      <c r="A14" t="s">
        <v>146</v>
      </c>
      <c r="B14">
        <v>30</v>
      </c>
      <c r="C14">
        <f t="shared" si="0"/>
        <v>1.4999999999999999E-2</v>
      </c>
      <c r="D14" s="2">
        <f t="shared" si="1"/>
        <v>2.4237540292586164E-4</v>
      </c>
      <c r="E14" s="4">
        <f t="shared" si="2"/>
        <v>242.37540292586166</v>
      </c>
      <c r="F14" s="4">
        <f>AVERAGE(E14:E16)</f>
        <v>274.69212331597652</v>
      </c>
      <c r="G14" s="3">
        <f>STDEV(E14:E16)/F14</f>
        <v>0.10604562574894072</v>
      </c>
      <c r="H14" s="13">
        <f t="shared" si="3"/>
        <v>0.24237540292586165</v>
      </c>
      <c r="I14">
        <v>6</v>
      </c>
    </row>
    <row r="15" spans="1:10" x14ac:dyDescent="0.25">
      <c r="A15" t="s">
        <v>147</v>
      </c>
      <c r="B15">
        <v>35</v>
      </c>
      <c r="C15">
        <f t="shared" si="0"/>
        <v>1.7500000000000002E-2</v>
      </c>
      <c r="D15" s="2">
        <f t="shared" si="1"/>
        <v>2.8277130341350522E-4</v>
      </c>
      <c r="E15" s="4">
        <f t="shared" si="2"/>
        <v>282.77130341350522</v>
      </c>
      <c r="H15" s="13">
        <f t="shared" si="3"/>
        <v>0.2827713034135052</v>
      </c>
      <c r="I15">
        <v>6</v>
      </c>
    </row>
    <row r="16" spans="1:10" x14ac:dyDescent="0.25">
      <c r="A16" t="s">
        <v>148</v>
      </c>
      <c r="B16">
        <v>37</v>
      </c>
      <c r="C16">
        <f t="shared" si="0"/>
        <v>1.8499999999999999E-2</v>
      </c>
      <c r="D16" s="2">
        <f t="shared" si="1"/>
        <v>2.9892966360856266E-4</v>
      </c>
      <c r="E16" s="4">
        <f t="shared" si="2"/>
        <v>298.92966360856263</v>
      </c>
      <c r="H16" s="13">
        <f t="shared" si="3"/>
        <v>0.29892966360856266</v>
      </c>
      <c r="I16">
        <v>6</v>
      </c>
    </row>
    <row r="17" spans="1:9" x14ac:dyDescent="0.25">
      <c r="A17" t="s">
        <v>149</v>
      </c>
      <c r="B17">
        <v>32</v>
      </c>
      <c r="C17">
        <f t="shared" si="0"/>
        <v>1.6E-2</v>
      </c>
      <c r="D17" s="2">
        <f t="shared" si="1"/>
        <v>2.5853376312091908E-4</v>
      </c>
      <c r="E17" s="4">
        <f t="shared" si="2"/>
        <v>258.5337631209191</v>
      </c>
      <c r="F17" s="4">
        <f>AVERAGE(E17:E19)</f>
        <v>261.22682315342865</v>
      </c>
      <c r="G17" s="3">
        <f>STDEV(E17:E19)/F17</f>
        <v>4.7243048401606612E-2</v>
      </c>
      <c r="H17" s="13">
        <f t="shared" si="3"/>
        <v>0.25853376312091908</v>
      </c>
      <c r="I17">
        <v>12</v>
      </c>
    </row>
    <row r="18" spans="1:9" x14ac:dyDescent="0.25">
      <c r="A18" t="s">
        <v>150</v>
      </c>
      <c r="B18">
        <v>31</v>
      </c>
      <c r="C18">
        <f t="shared" si="0"/>
        <v>1.55E-2</v>
      </c>
      <c r="D18" s="2">
        <f t="shared" si="1"/>
        <v>2.5045458302339036E-4</v>
      </c>
      <c r="E18" s="4">
        <f t="shared" si="2"/>
        <v>250.45458302339034</v>
      </c>
      <c r="H18" s="13">
        <f t="shared" si="3"/>
        <v>0.25045458302339035</v>
      </c>
      <c r="I18">
        <v>12</v>
      </c>
    </row>
    <row r="19" spans="1:9" x14ac:dyDescent="0.25">
      <c r="A19" t="s">
        <v>151</v>
      </c>
      <c r="B19">
        <v>34</v>
      </c>
      <c r="C19">
        <f t="shared" si="0"/>
        <v>1.7000000000000001E-2</v>
      </c>
      <c r="D19" s="2">
        <f t="shared" si="1"/>
        <v>2.7469212331597651E-4</v>
      </c>
      <c r="E19" s="4">
        <f t="shared" si="2"/>
        <v>274.69212331597652</v>
      </c>
      <c r="H19" s="13">
        <f t="shared" si="3"/>
        <v>0.27469212331597653</v>
      </c>
      <c r="I19">
        <v>12</v>
      </c>
    </row>
    <row r="20" spans="1:9" x14ac:dyDescent="0.25">
      <c r="A20" t="s">
        <v>152</v>
      </c>
      <c r="B20">
        <v>41</v>
      </c>
      <c r="C20">
        <f t="shared" si="0"/>
        <v>2.0500000000000001E-2</v>
      </c>
      <c r="D20" s="2">
        <f t="shared" si="1"/>
        <v>3.3124638399867763E-4</v>
      </c>
      <c r="E20" s="4">
        <f t="shared" si="2"/>
        <v>331.24638399867763</v>
      </c>
      <c r="F20" s="4">
        <f>AVERAGE(E20:E22)</f>
        <v>344.71168416122549</v>
      </c>
      <c r="G20" s="3">
        <f>STDEV(E20:E22)/F20</f>
        <v>3.5801372616842429E-2</v>
      </c>
      <c r="H20" s="13">
        <f t="shared" si="3"/>
        <v>0.33124638399867762</v>
      </c>
      <c r="I20">
        <v>24</v>
      </c>
    </row>
    <row r="21" spans="1:9" x14ac:dyDescent="0.25">
      <c r="A21" t="s">
        <v>153</v>
      </c>
      <c r="B21">
        <v>43</v>
      </c>
      <c r="C21">
        <f t="shared" si="0"/>
        <v>2.1499999999999998E-2</v>
      </c>
      <c r="D21" s="2">
        <f t="shared" si="1"/>
        <v>3.4740474419373501E-4</v>
      </c>
      <c r="E21" s="4">
        <f t="shared" si="2"/>
        <v>347.40474419373504</v>
      </c>
      <c r="H21" s="13">
        <f t="shared" si="3"/>
        <v>0.34740474419373502</v>
      </c>
      <c r="I21">
        <v>24</v>
      </c>
    </row>
    <row r="22" spans="1:9" x14ac:dyDescent="0.25">
      <c r="A22" t="s">
        <v>154</v>
      </c>
      <c r="B22">
        <v>44</v>
      </c>
      <c r="C22">
        <f t="shared" si="0"/>
        <v>2.1999999999999999E-2</v>
      </c>
      <c r="D22" s="2">
        <f t="shared" si="1"/>
        <v>3.5548392429126372E-4</v>
      </c>
      <c r="E22" s="4">
        <f t="shared" si="2"/>
        <v>355.48392429126375</v>
      </c>
      <c r="H22" s="13">
        <f t="shared" si="3"/>
        <v>0.35548392429126374</v>
      </c>
      <c r="I22">
        <v>24</v>
      </c>
    </row>
    <row r="23" spans="1:9" x14ac:dyDescent="0.25">
      <c r="A23" t="s">
        <v>155</v>
      </c>
      <c r="B23">
        <v>43</v>
      </c>
      <c r="C23">
        <f t="shared" si="0"/>
        <v>2.1499999999999998E-2</v>
      </c>
      <c r="D23" s="2">
        <f t="shared" si="1"/>
        <v>3.4740474419373501E-4</v>
      </c>
      <c r="E23" s="4">
        <f t="shared" si="2"/>
        <v>347.40474419373504</v>
      </c>
      <c r="F23" s="4">
        <f>AVERAGE(E23:E25)</f>
        <v>358.1769843237733</v>
      </c>
      <c r="G23" s="3">
        <f>STDEV(E23:E25)/F23</f>
        <v>0.18232113763882843</v>
      </c>
      <c r="H23" s="13">
        <f t="shared" si="3"/>
        <v>0.34740474419373502</v>
      </c>
      <c r="I23">
        <v>36</v>
      </c>
    </row>
    <row r="24" spans="1:9" x14ac:dyDescent="0.25">
      <c r="A24" t="s">
        <v>156</v>
      </c>
      <c r="B24">
        <v>37</v>
      </c>
      <c r="C24">
        <f t="shared" si="0"/>
        <v>1.8499999999999999E-2</v>
      </c>
      <c r="D24" s="2">
        <f t="shared" si="1"/>
        <v>2.9892966360856266E-4</v>
      </c>
      <c r="E24" s="4">
        <f t="shared" si="2"/>
        <v>298.92966360856263</v>
      </c>
      <c r="H24" s="13">
        <f t="shared" si="3"/>
        <v>0.29892966360856266</v>
      </c>
      <c r="I24">
        <v>36</v>
      </c>
    </row>
    <row r="25" spans="1:9" x14ac:dyDescent="0.25">
      <c r="A25" t="s">
        <v>157</v>
      </c>
      <c r="B25">
        <v>53</v>
      </c>
      <c r="C25">
        <f t="shared" si="0"/>
        <v>2.6499999999999999E-2</v>
      </c>
      <c r="D25" s="2">
        <f t="shared" si="1"/>
        <v>4.2819654516902222E-4</v>
      </c>
      <c r="E25" s="4">
        <f t="shared" si="2"/>
        <v>428.19654516902222</v>
      </c>
      <c r="H25" s="13">
        <f t="shared" si="3"/>
        <v>0.42819654516902222</v>
      </c>
      <c r="I25">
        <v>36</v>
      </c>
    </row>
    <row r="26" spans="1:9" x14ac:dyDescent="0.25">
      <c r="A26" t="s">
        <v>158</v>
      </c>
      <c r="B26">
        <v>38</v>
      </c>
      <c r="C26">
        <f t="shared" si="0"/>
        <v>1.9E-2</v>
      </c>
      <c r="D26" s="2">
        <f t="shared" si="1"/>
        <v>3.0700884370609137E-4</v>
      </c>
      <c r="E26" s="4">
        <f t="shared" si="2"/>
        <v>307.0088437060914</v>
      </c>
      <c r="F26" s="4">
        <f>AVERAGE(E26:E28)</f>
        <v>333.93944403118712</v>
      </c>
      <c r="G26" s="3">
        <f>STDEV(E26:E28)/F26</f>
        <v>8.4964949619780072E-2</v>
      </c>
      <c r="H26" s="13">
        <f t="shared" si="3"/>
        <v>0.30700884370609138</v>
      </c>
      <c r="I26">
        <v>48</v>
      </c>
    </row>
    <row r="27" spans="1:9" x14ac:dyDescent="0.25">
      <c r="A27" t="s">
        <v>159</v>
      </c>
      <c r="B27">
        <v>45</v>
      </c>
      <c r="C27">
        <f t="shared" si="0"/>
        <v>2.2499999999999999E-2</v>
      </c>
      <c r="D27" s="2">
        <f t="shared" si="1"/>
        <v>3.6356310438879244E-4</v>
      </c>
      <c r="E27" s="4">
        <f t="shared" si="2"/>
        <v>363.5631043887924</v>
      </c>
      <c r="H27" s="13">
        <f t="shared" si="3"/>
        <v>0.36356310438879241</v>
      </c>
      <c r="I27">
        <v>48</v>
      </c>
    </row>
    <row r="28" spans="1:9" x14ac:dyDescent="0.25">
      <c r="A28" t="s">
        <v>160</v>
      </c>
      <c r="B28">
        <v>41</v>
      </c>
      <c r="C28">
        <f t="shared" si="0"/>
        <v>2.0500000000000001E-2</v>
      </c>
      <c r="D28" s="2">
        <f t="shared" si="1"/>
        <v>3.3124638399867763E-4</v>
      </c>
      <c r="E28" s="4">
        <f t="shared" si="2"/>
        <v>331.24638399867763</v>
      </c>
      <c r="H28" s="13">
        <f t="shared" si="3"/>
        <v>0.33124638399867762</v>
      </c>
      <c r="I28">
        <v>48</v>
      </c>
    </row>
    <row r="29" spans="1:9" x14ac:dyDescent="0.25">
      <c r="A29" t="s">
        <v>161</v>
      </c>
      <c r="B29">
        <v>1</v>
      </c>
      <c r="C29">
        <f t="shared" si="0"/>
        <v>5.0000000000000001E-4</v>
      </c>
      <c r="D29" s="2">
        <f t="shared" si="1"/>
        <v>8.0791800975287211E-6</v>
      </c>
      <c r="E29" s="4">
        <f t="shared" si="2"/>
        <v>8.079180097528722</v>
      </c>
      <c r="F29" s="4">
        <f>AVERAGE(E29:E31)</f>
        <v>5.3861200650191483</v>
      </c>
    </row>
    <row r="30" spans="1:9" x14ac:dyDescent="0.25">
      <c r="A30" t="s">
        <v>162</v>
      </c>
      <c r="B30">
        <v>1</v>
      </c>
      <c r="C30">
        <f t="shared" si="0"/>
        <v>5.0000000000000001E-4</v>
      </c>
      <c r="D30" s="2">
        <f t="shared" si="1"/>
        <v>8.0791800975287211E-6</v>
      </c>
      <c r="E30" s="4">
        <f t="shared" si="2"/>
        <v>8.079180097528722</v>
      </c>
    </row>
    <row r="31" spans="1:9" x14ac:dyDescent="0.25">
      <c r="A31" t="s">
        <v>163</v>
      </c>
      <c r="B31">
        <v>0</v>
      </c>
      <c r="C31">
        <f t="shared" si="0"/>
        <v>0</v>
      </c>
      <c r="D31" s="2">
        <f t="shared" si="1"/>
        <v>0</v>
      </c>
      <c r="E31" s="4">
        <f t="shared" si="2"/>
        <v>0</v>
      </c>
    </row>
    <row r="32" spans="1:9" x14ac:dyDescent="0.25">
      <c r="D32" s="2"/>
      <c r="E32" s="4"/>
    </row>
    <row r="33" spans="1:5" x14ac:dyDescent="0.25">
      <c r="D33" s="2"/>
      <c r="E33" s="4"/>
    </row>
    <row r="34" spans="1:5" x14ac:dyDescent="0.25">
      <c r="A34" s="14" t="s">
        <v>164</v>
      </c>
      <c r="B34" s="14">
        <f t="array" ref="B34:C38">LINEST(E11:E28,I11:I28,TRUE,TRUE)</f>
        <v>0.37227345721150157</v>
      </c>
      <c r="C34" s="15">
        <v>322.34481799112712</v>
      </c>
      <c r="D34" s="16" t="s">
        <v>165</v>
      </c>
      <c r="E34" s="17"/>
    </row>
    <row r="35" spans="1:5" x14ac:dyDescent="0.25">
      <c r="A35" s="14" t="s">
        <v>166</v>
      </c>
      <c r="B35" s="14">
        <v>0.93522713377908917</v>
      </c>
      <c r="C35" s="15">
        <v>25.225140703333317</v>
      </c>
      <c r="D35" s="16" t="s">
        <v>166</v>
      </c>
      <c r="E35" s="17"/>
    </row>
    <row r="36" spans="1:5" x14ac:dyDescent="0.25">
      <c r="A36" s="14" t="s">
        <v>167</v>
      </c>
      <c r="B36" s="14">
        <v>9.8059634845375412E-3</v>
      </c>
      <c r="C36" s="15">
        <v>64.622097077873661</v>
      </c>
      <c r="D36" s="16" t="s">
        <v>168</v>
      </c>
      <c r="E36" s="17"/>
    </row>
    <row r="37" spans="1:5" x14ac:dyDescent="0.25">
      <c r="A37" s="14" t="s">
        <v>169</v>
      </c>
      <c r="B37" s="14">
        <v>0.15844916245377796</v>
      </c>
      <c r="C37" s="15">
        <v>16</v>
      </c>
      <c r="D37" s="16" t="s">
        <v>170</v>
      </c>
      <c r="E37" s="17"/>
    </row>
    <row r="38" spans="1:5" x14ac:dyDescent="0.25">
      <c r="A38" s="14" t="s">
        <v>171</v>
      </c>
      <c r="B38" s="14">
        <v>661.68614739514305</v>
      </c>
      <c r="C38" s="15">
        <v>66816.246891874049</v>
      </c>
      <c r="D38" s="16" t="s">
        <v>172</v>
      </c>
      <c r="E38" s="17"/>
    </row>
    <row r="39" spans="1:5" x14ac:dyDescent="0.25">
      <c r="D39" s="2"/>
      <c r="E39" s="4"/>
    </row>
    <row r="40" spans="1:5" x14ac:dyDescent="0.25">
      <c r="D40" s="2"/>
      <c r="E40" s="4"/>
    </row>
    <row r="41" spans="1:5" x14ac:dyDescent="0.25">
      <c r="A41" s="18" t="s">
        <v>173</v>
      </c>
      <c r="B41" s="18">
        <f>B34/B35</f>
        <v>0.39805673270749714</v>
      </c>
      <c r="D41" s="2"/>
      <c r="E41" s="4"/>
    </row>
    <row r="42" spans="1:5" x14ac:dyDescent="0.25">
      <c r="A42" s="18" t="s">
        <v>174</v>
      </c>
      <c r="B42" s="18">
        <f>TDIST(ABS(B41),C37,2)</f>
        <v>0.69584933940292681</v>
      </c>
      <c r="C42" t="s">
        <v>175</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F24"/>
  <sheetViews>
    <sheetView workbookViewId="0">
      <selection activeCell="C32" sqref="C32"/>
    </sheetView>
  </sheetViews>
  <sheetFormatPr defaultColWidth="11" defaultRowHeight="15.75" x14ac:dyDescent="0.25"/>
  <cols>
    <col min="2" max="2" width="17.375" customWidth="1"/>
    <col min="3" max="3" width="20.125" customWidth="1"/>
    <col min="4" max="4" width="18.125" customWidth="1"/>
    <col min="5" max="5" width="8.375" customWidth="1"/>
    <col min="6" max="6" width="21.375" customWidth="1"/>
  </cols>
  <sheetData>
    <row r="1" spans="1:6" x14ac:dyDescent="0.25">
      <c r="A1" s="1" t="s">
        <v>176</v>
      </c>
    </row>
    <row r="3" spans="1:6" x14ac:dyDescent="0.25">
      <c r="A3" t="s">
        <v>75</v>
      </c>
      <c r="B3" t="s">
        <v>76</v>
      </c>
      <c r="C3" t="s">
        <v>77</v>
      </c>
      <c r="D3" t="s">
        <v>78</v>
      </c>
      <c r="E3" t="s">
        <v>79</v>
      </c>
      <c r="F3" t="s">
        <v>80</v>
      </c>
    </row>
    <row r="4" spans="1:6" x14ac:dyDescent="0.25">
      <c r="A4" t="s">
        <v>81</v>
      </c>
      <c r="B4">
        <v>6.0970000000000003E-2</v>
      </c>
      <c r="C4">
        <v>6.2759999999999996E-2</v>
      </c>
      <c r="D4">
        <f>C4-B4</f>
        <v>1.789999999999993E-3</v>
      </c>
      <c r="E4">
        <v>15</v>
      </c>
      <c r="F4" s="2">
        <f>D4/E4</f>
        <v>1.1933333333333286E-4</v>
      </c>
    </row>
    <row r="5" spans="1:6" x14ac:dyDescent="0.25">
      <c r="A5" t="s">
        <v>82</v>
      </c>
      <c r="B5">
        <v>6.8510000000000001E-2</v>
      </c>
      <c r="C5">
        <v>6.9919999999999996E-2</v>
      </c>
      <c r="D5">
        <f t="shared" ref="D5:D24" si="0">C5-B5</f>
        <v>1.4099999999999946E-3</v>
      </c>
      <c r="E5">
        <v>15</v>
      </c>
      <c r="F5" s="2">
        <f t="shared" ref="F5:F24" si="1">D5/E5</f>
        <v>9.3999999999999642E-5</v>
      </c>
    </row>
    <row r="6" spans="1:6" x14ac:dyDescent="0.25">
      <c r="A6" t="s">
        <v>83</v>
      </c>
      <c r="B6">
        <v>7.5160000000000005E-2</v>
      </c>
      <c r="C6">
        <v>7.6789999999999997E-2</v>
      </c>
      <c r="D6">
        <f t="shared" si="0"/>
        <v>1.6299999999999926E-3</v>
      </c>
      <c r="E6">
        <v>15</v>
      </c>
      <c r="F6" s="2">
        <f t="shared" si="1"/>
        <v>1.0866666666666617E-4</v>
      </c>
    </row>
    <row r="7" spans="1:6" x14ac:dyDescent="0.25">
      <c r="A7" t="s">
        <v>84</v>
      </c>
      <c r="B7">
        <v>6.7760000000000001E-2</v>
      </c>
      <c r="C7">
        <v>6.9430000000000006E-2</v>
      </c>
      <c r="D7">
        <f t="shared" si="0"/>
        <v>1.6700000000000048E-3</v>
      </c>
      <c r="E7">
        <v>15</v>
      </c>
      <c r="F7" s="2">
        <f t="shared" si="1"/>
        <v>1.1133333333333366E-4</v>
      </c>
    </row>
    <row r="8" spans="1:6" x14ac:dyDescent="0.25">
      <c r="A8" t="s">
        <v>85</v>
      </c>
      <c r="B8">
        <v>6.9330000000000003E-2</v>
      </c>
      <c r="C8">
        <v>7.0749999999999993E-2</v>
      </c>
      <c r="D8">
        <f t="shared" si="0"/>
        <v>1.4199999999999907E-3</v>
      </c>
      <c r="E8">
        <v>15</v>
      </c>
      <c r="F8" s="2">
        <f t="shared" si="1"/>
        <v>9.4666666666666049E-5</v>
      </c>
    </row>
    <row r="9" spans="1:6" x14ac:dyDescent="0.25">
      <c r="A9" t="s">
        <v>86</v>
      </c>
      <c r="B9">
        <v>5.7509999999999999E-2</v>
      </c>
      <c r="C9">
        <v>5.9119999999999999E-2</v>
      </c>
      <c r="D9">
        <f t="shared" si="0"/>
        <v>1.6100000000000003E-3</v>
      </c>
      <c r="E9">
        <v>15</v>
      </c>
      <c r="F9" s="2">
        <f t="shared" si="1"/>
        <v>1.0733333333333336E-4</v>
      </c>
    </row>
    <row r="10" spans="1:6" x14ac:dyDescent="0.25">
      <c r="A10" t="s">
        <v>87</v>
      </c>
      <c r="B10">
        <v>5.4760000000000003E-2</v>
      </c>
      <c r="C10">
        <v>5.6439999999999997E-2</v>
      </c>
      <c r="D10">
        <f t="shared" si="0"/>
        <v>1.679999999999994E-3</v>
      </c>
      <c r="E10">
        <v>15</v>
      </c>
      <c r="F10" s="2">
        <f t="shared" si="1"/>
        <v>1.1199999999999961E-4</v>
      </c>
    </row>
    <row r="11" spans="1:6" x14ac:dyDescent="0.25">
      <c r="A11" t="s">
        <v>88</v>
      </c>
      <c r="B11">
        <v>5.7770000000000002E-2</v>
      </c>
      <c r="C11">
        <v>5.9580000000000001E-2</v>
      </c>
      <c r="D11">
        <f t="shared" si="0"/>
        <v>1.8099999999999991E-3</v>
      </c>
      <c r="E11">
        <v>15</v>
      </c>
      <c r="F11" s="2">
        <f t="shared" si="1"/>
        <v>1.2066666666666661E-4</v>
      </c>
    </row>
    <row r="12" spans="1:6" x14ac:dyDescent="0.25">
      <c r="A12" t="s">
        <v>89</v>
      </c>
      <c r="B12">
        <v>6.062E-2</v>
      </c>
      <c r="C12">
        <v>6.232E-2</v>
      </c>
      <c r="D12">
        <f t="shared" si="0"/>
        <v>1.7000000000000001E-3</v>
      </c>
      <c r="E12">
        <v>15</v>
      </c>
      <c r="F12" s="2">
        <f>D12/E12</f>
        <v>1.1333333333333334E-4</v>
      </c>
    </row>
    <row r="13" spans="1:6" x14ac:dyDescent="0.25">
      <c r="A13" t="s">
        <v>177</v>
      </c>
      <c r="B13">
        <v>6.522E-2</v>
      </c>
      <c r="C13">
        <v>6.6869999999999999E-2</v>
      </c>
      <c r="D13">
        <f t="shared" si="0"/>
        <v>1.6499999999999987E-3</v>
      </c>
      <c r="E13">
        <v>15</v>
      </c>
      <c r="F13" s="2">
        <f t="shared" si="1"/>
        <v>1.0999999999999991E-4</v>
      </c>
    </row>
    <row r="14" spans="1:6" x14ac:dyDescent="0.25">
      <c r="A14" t="s">
        <v>178</v>
      </c>
      <c r="B14">
        <v>6.0220000000000003E-2</v>
      </c>
      <c r="C14">
        <v>6.191E-2</v>
      </c>
      <c r="D14">
        <f t="shared" si="0"/>
        <v>1.6899999999999971E-3</v>
      </c>
      <c r="E14">
        <v>14</v>
      </c>
      <c r="F14" s="2">
        <f t="shared" si="1"/>
        <v>1.2071428571428551E-4</v>
      </c>
    </row>
    <row r="15" spans="1:6" x14ac:dyDescent="0.25">
      <c r="A15" t="s">
        <v>179</v>
      </c>
      <c r="B15">
        <v>6.2399999999999997E-2</v>
      </c>
      <c r="C15">
        <v>6.3899999999999998E-2</v>
      </c>
      <c r="D15">
        <f t="shared" si="0"/>
        <v>1.5000000000000013E-3</v>
      </c>
      <c r="E15">
        <v>15</v>
      </c>
      <c r="F15" s="2">
        <f t="shared" si="1"/>
        <v>1.0000000000000009E-4</v>
      </c>
    </row>
    <row r="16" spans="1:6" x14ac:dyDescent="0.25">
      <c r="A16" t="s">
        <v>90</v>
      </c>
      <c r="B16">
        <v>7.3020000000000002E-2</v>
      </c>
      <c r="C16">
        <v>7.4569999999999997E-2</v>
      </c>
      <c r="D16">
        <f t="shared" si="0"/>
        <v>1.5499999999999958E-3</v>
      </c>
      <c r="E16">
        <v>15</v>
      </c>
      <c r="F16" s="2">
        <f t="shared" si="1"/>
        <v>1.0333333333333306E-4</v>
      </c>
    </row>
    <row r="17" spans="1:6" x14ac:dyDescent="0.25">
      <c r="A17" t="s">
        <v>91</v>
      </c>
      <c r="B17">
        <v>6.9279999999999994E-2</v>
      </c>
      <c r="C17">
        <v>7.0809999999999998E-2</v>
      </c>
      <c r="D17">
        <f t="shared" si="0"/>
        <v>1.5300000000000036E-3</v>
      </c>
      <c r="E17">
        <v>15</v>
      </c>
      <c r="F17" s="2">
        <f t="shared" si="1"/>
        <v>1.0200000000000024E-4</v>
      </c>
    </row>
    <row r="18" spans="1:6" x14ac:dyDescent="0.25">
      <c r="A18" t="s">
        <v>92</v>
      </c>
      <c r="B18">
        <v>6.8640000000000007E-2</v>
      </c>
      <c r="C18">
        <v>7.0220000000000005E-2</v>
      </c>
      <c r="D18">
        <f t="shared" si="0"/>
        <v>1.5799999999999981E-3</v>
      </c>
      <c r="E18">
        <v>15</v>
      </c>
      <c r="F18" s="2">
        <f t="shared" si="1"/>
        <v>1.053333333333332E-4</v>
      </c>
    </row>
    <row r="19" spans="1:6" x14ac:dyDescent="0.25">
      <c r="A19" t="s">
        <v>93</v>
      </c>
      <c r="B19">
        <v>7.8329999999999997E-2</v>
      </c>
      <c r="C19">
        <v>7.9799999999999996E-2</v>
      </c>
      <c r="D19">
        <f t="shared" si="0"/>
        <v>1.4699999999999991E-3</v>
      </c>
      <c r="E19">
        <v>15</v>
      </c>
      <c r="F19" s="2">
        <f t="shared" si="1"/>
        <v>9.7999999999999943E-5</v>
      </c>
    </row>
    <row r="20" spans="1:6" x14ac:dyDescent="0.25">
      <c r="A20" t="s">
        <v>94</v>
      </c>
      <c r="B20">
        <v>6.8190000000000001E-2</v>
      </c>
      <c r="C20">
        <v>6.9599999999999995E-2</v>
      </c>
      <c r="D20">
        <f t="shared" si="0"/>
        <v>1.4099999999999946E-3</v>
      </c>
      <c r="E20">
        <v>15</v>
      </c>
      <c r="F20" s="2">
        <f t="shared" si="1"/>
        <v>9.3999999999999642E-5</v>
      </c>
    </row>
    <row r="21" spans="1:6" x14ac:dyDescent="0.25">
      <c r="A21" t="s">
        <v>95</v>
      </c>
      <c r="B21">
        <v>7.1639999999999995E-2</v>
      </c>
      <c r="C21">
        <v>7.3459999999999998E-2</v>
      </c>
      <c r="D21">
        <f t="shared" si="0"/>
        <v>1.8200000000000022E-3</v>
      </c>
      <c r="E21">
        <v>15</v>
      </c>
      <c r="F21" s="2">
        <f t="shared" si="1"/>
        <v>1.2133333333333348E-4</v>
      </c>
    </row>
    <row r="22" spans="1:6" x14ac:dyDescent="0.25">
      <c r="A22" t="s">
        <v>99</v>
      </c>
      <c r="B22">
        <v>6.4979999999999996E-2</v>
      </c>
      <c r="C22">
        <v>6.6309999999999994E-2</v>
      </c>
      <c r="D22">
        <f t="shared" si="0"/>
        <v>1.3299999999999979E-3</v>
      </c>
      <c r="E22">
        <v>15</v>
      </c>
      <c r="F22" s="2">
        <f t="shared" si="1"/>
        <v>8.8666666666666527E-5</v>
      </c>
    </row>
    <row r="23" spans="1:6" x14ac:dyDescent="0.25">
      <c r="A23" t="s">
        <v>100</v>
      </c>
      <c r="B23">
        <v>5.74E-2</v>
      </c>
      <c r="C23">
        <v>5.8740000000000001E-2</v>
      </c>
      <c r="D23">
        <f t="shared" si="0"/>
        <v>1.3400000000000009E-3</v>
      </c>
      <c r="E23">
        <v>15</v>
      </c>
      <c r="F23" s="2">
        <f t="shared" si="1"/>
        <v>8.9333333333333395E-5</v>
      </c>
    </row>
    <row r="24" spans="1:6" x14ac:dyDescent="0.25">
      <c r="A24" t="s">
        <v>101</v>
      </c>
      <c r="B24">
        <v>7.2090000000000001E-2</v>
      </c>
      <c r="C24">
        <v>7.356E-2</v>
      </c>
      <c r="D24">
        <f t="shared" si="0"/>
        <v>1.4699999999999991E-3</v>
      </c>
      <c r="E24">
        <v>15</v>
      </c>
      <c r="F24" s="2">
        <f t="shared" si="1"/>
        <v>9.7999999999999943E-5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O52"/>
  <sheetViews>
    <sheetView topLeftCell="A24" workbookViewId="0">
      <selection activeCell="J48" sqref="J48"/>
    </sheetView>
  </sheetViews>
  <sheetFormatPr defaultColWidth="11" defaultRowHeight="15.75" x14ac:dyDescent="0.25"/>
  <cols>
    <col min="1" max="1" width="13.375" customWidth="1"/>
    <col min="2" max="2" width="23.125" customWidth="1"/>
    <col min="3" max="4" width="10.125" customWidth="1"/>
    <col min="5" max="5" width="15.375" customWidth="1"/>
  </cols>
  <sheetData>
    <row r="1" spans="1:10" x14ac:dyDescent="0.25">
      <c r="D1" t="s">
        <v>102</v>
      </c>
      <c r="E1">
        <v>21</v>
      </c>
      <c r="F1">
        <v>17</v>
      </c>
    </row>
    <row r="3" spans="1:10" x14ac:dyDescent="0.25">
      <c r="A3" t="s">
        <v>75</v>
      </c>
      <c r="B3" t="s">
        <v>103</v>
      </c>
      <c r="C3" t="s">
        <v>104</v>
      </c>
      <c r="D3" t="s">
        <v>105</v>
      </c>
      <c r="E3" t="s">
        <v>106</v>
      </c>
    </row>
    <row r="4" spans="1:10" x14ac:dyDescent="0.25">
      <c r="A4" t="s">
        <v>108</v>
      </c>
      <c r="B4">
        <v>0</v>
      </c>
      <c r="D4">
        <v>0</v>
      </c>
      <c r="E4">
        <v>0</v>
      </c>
      <c r="G4">
        <v>0</v>
      </c>
    </row>
    <row r="5" spans="1:10" x14ac:dyDescent="0.25">
      <c r="A5" t="s">
        <v>109</v>
      </c>
      <c r="B5">
        <v>4</v>
      </c>
      <c r="D5">
        <v>0</v>
      </c>
      <c r="E5">
        <v>0</v>
      </c>
      <c r="G5">
        <v>0</v>
      </c>
    </row>
    <row r="6" spans="1:10" x14ac:dyDescent="0.25">
      <c r="A6" t="s">
        <v>81</v>
      </c>
      <c r="B6">
        <v>197</v>
      </c>
      <c r="C6" s="4">
        <f>(B6*391)/(2220000*10.9)*1000/'Mosher Masses 1.0 18'!D4</f>
        <v>1778.3223231432005</v>
      </c>
      <c r="D6" s="5">
        <f>(B6*391)/(2220000*10.9)*1000/'Mosher Masses 1.0 18'!E4</f>
        <v>0.21221313056175442</v>
      </c>
      <c r="E6" s="4">
        <f>AVERAGE(C6:C8)</f>
        <v>1714.5016320242928</v>
      </c>
      <c r="F6" s="20">
        <f>STDEV(C6:C8)/E6</f>
        <v>3.736052154136317E-2</v>
      </c>
      <c r="G6">
        <v>3</v>
      </c>
      <c r="I6" t="s">
        <v>110</v>
      </c>
      <c r="J6" t="s">
        <v>106</v>
      </c>
    </row>
    <row r="7" spans="1:10" x14ac:dyDescent="0.25">
      <c r="A7" t="s">
        <v>82</v>
      </c>
      <c r="B7">
        <v>144</v>
      </c>
      <c r="C7" s="4">
        <f>(B7*391)/(2220000*10.9)*1000/'Mosher Masses 1.0 18'!D5</f>
        <v>1650.2155092824687</v>
      </c>
      <c r="D7" s="5">
        <f>(B7*391)/(2220000*10.9)*1000/'Mosher Masses 1.0 18'!E5</f>
        <v>0.15512025787255146</v>
      </c>
      <c r="G7">
        <v>3</v>
      </c>
      <c r="I7">
        <v>3</v>
      </c>
    </row>
    <row r="8" spans="1:10" x14ac:dyDescent="0.25">
      <c r="A8" t="s">
        <v>83</v>
      </c>
      <c r="B8">
        <v>173</v>
      </c>
      <c r="C8" s="4">
        <f>(B8*391)/(2220000*10.9)*1000/'Mosher Masses 1.0 18'!D6</f>
        <v>1714.9670636472088</v>
      </c>
      <c r="D8" s="5">
        <f>(B8*391)/(2220000*10.9)*1000/'Mosher Masses 1.0 18'!E6</f>
        <v>0.1863597542496625</v>
      </c>
      <c r="G8">
        <v>3</v>
      </c>
      <c r="I8">
        <v>6</v>
      </c>
    </row>
    <row r="9" spans="1:10" x14ac:dyDescent="0.25">
      <c r="A9" t="s">
        <v>84</v>
      </c>
      <c r="B9">
        <v>204</v>
      </c>
      <c r="C9" s="4">
        <f>(B9*391)/(2220000*10.9)*1000/'Mosher Masses 1.0 18'!D7</f>
        <v>1973.8356166417418</v>
      </c>
      <c r="D9" s="5">
        <f>(B9*391)/(2220000*10.9)*1000/'Mosher Masses 1.0 18'!E7</f>
        <v>0.21975369865278122</v>
      </c>
      <c r="E9" s="4">
        <f>AVERAGE(C9:C11)</f>
        <v>2209.7471320745967</v>
      </c>
      <c r="F9" s="20">
        <f>STDEV(C9:C11)/E9</f>
        <v>0.33952142101863259</v>
      </c>
      <c r="G9">
        <v>6</v>
      </c>
      <c r="I9">
        <v>12</v>
      </c>
    </row>
    <row r="10" spans="1:10" x14ac:dyDescent="0.25">
      <c r="A10" t="s">
        <v>85</v>
      </c>
      <c r="B10">
        <v>268</v>
      </c>
      <c r="C10" s="4">
        <f>(B10*391)/(2220000*10.9)*1000/'Mosher Masses 1.0 18'!D8</f>
        <v>3049.6060086446641</v>
      </c>
      <c r="D10" s="5">
        <f>(B10*391)/(2220000*10.9)*1000/'Mosher Masses 1.0 18'!E8</f>
        <v>0.28869603548502631</v>
      </c>
      <c r="G10">
        <v>6</v>
      </c>
      <c r="I10">
        <v>16</v>
      </c>
    </row>
    <row r="11" spans="1:10" x14ac:dyDescent="0.25">
      <c r="A11" t="s">
        <v>86</v>
      </c>
      <c r="B11">
        <v>160</v>
      </c>
      <c r="C11" s="4">
        <f>(B11*391)/(2220000*10.9)*1000/'Mosher Masses 1.0 18'!D9</f>
        <v>1605.7997709373851</v>
      </c>
      <c r="D11" s="5">
        <f>(B11*391)/(2220000*10.9)*1000/'Mosher Masses 1.0 18'!E9</f>
        <v>0.17235584208061272</v>
      </c>
      <c r="G11">
        <v>6</v>
      </c>
      <c r="I11">
        <v>24</v>
      </c>
    </row>
    <row r="12" spans="1:10" x14ac:dyDescent="0.25">
      <c r="A12" t="s">
        <v>87</v>
      </c>
      <c r="B12">
        <v>369</v>
      </c>
      <c r="C12" s="4">
        <f>(B12*391)/(2220000*10.9)*1000/'Mosher Masses 1.0 18'!D10</f>
        <v>3549.0683999858443</v>
      </c>
      <c r="D12" s="5">
        <f>(B12*391)/(2220000*10.9)*1000/'Mosher Masses 1.0 18'!E10</f>
        <v>0.39749566079841314</v>
      </c>
      <c r="E12" s="4">
        <f>AVERAGE(C12:C14)</f>
        <v>2969.1071254885992</v>
      </c>
      <c r="F12" s="20">
        <f>STDEV(C12:C14)/E12</f>
        <v>0.17662425413731786</v>
      </c>
      <c r="G12">
        <v>12</v>
      </c>
      <c r="I12">
        <v>36</v>
      </c>
    </row>
    <row r="13" spans="1:10" x14ac:dyDescent="0.25">
      <c r="A13" t="s">
        <v>88</v>
      </c>
      <c r="B13">
        <v>317</v>
      </c>
      <c r="C13" s="4">
        <f>(B13*391)/(2220000*10.9)*1000/'Mosher Masses 1.0 18'!D11</f>
        <v>2829.9448518415534</v>
      </c>
      <c r="D13" s="5">
        <f>(B13*391)/(2220000*10.9)*1000/'Mosher Masses 1.0 18'!E11</f>
        <v>0.34148001212221396</v>
      </c>
      <c r="G13">
        <v>12</v>
      </c>
    </row>
    <row r="14" spans="1:10" x14ac:dyDescent="0.25">
      <c r="A14" t="s">
        <v>89</v>
      </c>
      <c r="B14">
        <v>266</v>
      </c>
      <c r="C14" s="4">
        <f>(B14*391)/(2220000*10.9)*1000/'Mosher Masses 1.0 18'!D12</f>
        <v>2528.3081246383995</v>
      </c>
      <c r="D14" s="5">
        <f>(B14*391)/(2220000*10.9)*1000/'Mosher Masses 1.0 18'!E12</f>
        <v>0.28654158745901864</v>
      </c>
      <c r="G14">
        <v>12</v>
      </c>
    </row>
    <row r="15" spans="1:10" x14ac:dyDescent="0.25">
      <c r="A15" t="s">
        <v>177</v>
      </c>
      <c r="B15">
        <v>380</v>
      </c>
      <c r="C15" s="4">
        <f>(B15*391)/(2220000*10.9)*1000/'Mosher Masses 1.0 18'!D13</f>
        <v>3721.3193176495961</v>
      </c>
      <c r="D15" s="5">
        <f>(B15*391)/(2220000*10.9)*1000/'Mosher Masses 1.0 18'!E13</f>
        <v>0.40934512494145525</v>
      </c>
      <c r="E15" s="4">
        <f>AVERAGE(C15:C17)</f>
        <v>4022.269862777981</v>
      </c>
      <c r="F15" s="20">
        <f>STDEV(C15:C17)/E15</f>
        <v>9.3871329112942256E-2</v>
      </c>
      <c r="G15">
        <v>16</v>
      </c>
    </row>
    <row r="16" spans="1:10" x14ac:dyDescent="0.25">
      <c r="A16" t="s">
        <v>178</v>
      </c>
      <c r="B16">
        <v>465</v>
      </c>
      <c r="C16" s="4">
        <f>(B16*391)/(2220000*10.9)*1000/'Mosher Masses 1.0 18'!D14</f>
        <v>4445.9393436104874</v>
      </c>
      <c r="D16" s="5">
        <f>(B16*391)/(2220000*10.9)*1000/'Mosher Masses 1.0 18'!E14</f>
        <v>0.53668839219297937</v>
      </c>
      <c r="G16">
        <v>16</v>
      </c>
    </row>
    <row r="17" spans="1:15" x14ac:dyDescent="0.25">
      <c r="A17" t="s">
        <v>179</v>
      </c>
      <c r="B17">
        <v>362</v>
      </c>
      <c r="C17" s="4">
        <f>(B17*391)/(2220000*10.9)*1000/'Mosher Masses 1.0 18'!D15</f>
        <v>3899.5509270738594</v>
      </c>
      <c r="D17" s="5">
        <f>(B17*391)/(2220000*10.9)*1000/'Mosher Masses 1.0 18'!E15</f>
        <v>0.38995509270738626</v>
      </c>
      <c r="G17">
        <v>16</v>
      </c>
    </row>
    <row r="18" spans="1:15" x14ac:dyDescent="0.25">
      <c r="A18" t="s">
        <v>90</v>
      </c>
      <c r="B18">
        <v>581</v>
      </c>
      <c r="C18" s="4">
        <f>(B18*391)/(2220000*10.9)*1000/'Mosher Masses 1.0 18'!D16</f>
        <v>6056.7788860183218</v>
      </c>
      <c r="D18" s="5">
        <f>(B18*391)/(2220000*10.9)*1000/'Mosher Masses 1.0 18'!E16</f>
        <v>0.62586715155522488</v>
      </c>
      <c r="E18" s="4">
        <f>AVERAGE(C18:C20)</f>
        <v>5778.0254634116245</v>
      </c>
      <c r="F18" s="20">
        <f>STDEV(C18:C20)/E18</f>
        <v>0.18765127726730235</v>
      </c>
      <c r="G18">
        <v>24</v>
      </c>
    </row>
    <row r="19" spans="1:15" x14ac:dyDescent="0.25">
      <c r="A19" t="s">
        <v>91</v>
      </c>
      <c r="B19">
        <v>634</v>
      </c>
      <c r="C19" s="4">
        <f>(B19*391)/(2220000*10.9)*1000/'Mosher Masses 1.0 18'!D17</f>
        <v>6695.6865122002582</v>
      </c>
      <c r="D19" s="5">
        <f>(B19*391)/(2220000*10.9)*1000/'Mosher Masses 1.0 18'!E17</f>
        <v>0.68296002424442792</v>
      </c>
      <c r="G19">
        <v>24</v>
      </c>
    </row>
    <row r="20" spans="1:15" x14ac:dyDescent="0.25">
      <c r="A20" t="s">
        <v>92</v>
      </c>
      <c r="B20">
        <v>448</v>
      </c>
      <c r="C20" s="4">
        <f>(B20*391)/(2220000*10.9)*1000/'Mosher Masses 1.0 18'!D18</f>
        <v>4581.6109920162935</v>
      </c>
      <c r="D20" s="5">
        <f>(B20*391)/(2220000*10.9)*1000/'Mosher Masses 1.0 18'!E18</f>
        <v>0.48259635782571564</v>
      </c>
      <c r="G20">
        <v>24</v>
      </c>
    </row>
    <row r="21" spans="1:15" x14ac:dyDescent="0.25">
      <c r="A21" t="s">
        <v>93</v>
      </c>
      <c r="B21">
        <v>604</v>
      </c>
      <c r="C21" s="4">
        <f>(B21*391)/(2220000*10.9)*1000/'Mosher Masses 1.0 18'!D19</f>
        <v>6639.217386268504</v>
      </c>
      <c r="D21" s="5">
        <f>(B21*391)/(2220000*10.9)*1000/'Mosher Masses 1.0 18'!E19</f>
        <v>0.65064330385431302</v>
      </c>
      <c r="E21" s="4">
        <f>AVERAGE(C21:C23)</f>
        <v>6938.971995718889</v>
      </c>
      <c r="F21" s="20">
        <f>STDEV(C21:C23)/E21</f>
        <v>0.16357098804407327</v>
      </c>
      <c r="G21">
        <v>36</v>
      </c>
    </row>
    <row r="22" spans="1:15" x14ac:dyDescent="0.25">
      <c r="A22" t="s">
        <v>94</v>
      </c>
      <c r="B22">
        <v>715</v>
      </c>
      <c r="C22" s="4">
        <f>(B22*391)/(2220000*10.9)*1000/'Mosher Masses 1.0 18'!D20</f>
        <v>8193.7783967844789</v>
      </c>
      <c r="D22" s="5">
        <f>(B22*391)/(2220000*10.9)*1000/'Mosher Masses 1.0 18'!E20</f>
        <v>0.77021516929773814</v>
      </c>
      <c r="G22">
        <v>36</v>
      </c>
    </row>
    <row r="23" spans="1:15" x14ac:dyDescent="0.25">
      <c r="A23" t="s">
        <v>95</v>
      </c>
      <c r="B23">
        <v>674</v>
      </c>
      <c r="C23" s="4">
        <f>(B23*391)/(2220000*10.9)*1000/'Mosher Masses 1.0 18'!D21</f>
        <v>5983.9202041036833</v>
      </c>
      <c r="D23" s="5">
        <f>(B23*391)/(2220000*10.9)*1000/'Mosher Masses 1.0 18'!E21</f>
        <v>0.72604898476458113</v>
      </c>
      <c r="G23">
        <v>36</v>
      </c>
    </row>
    <row r="24" spans="1:15" x14ac:dyDescent="0.25">
      <c r="A24" t="s">
        <v>99</v>
      </c>
      <c r="B24">
        <v>2</v>
      </c>
      <c r="C24" s="4">
        <f>(B24*391)/(2220000*10.9)*1000/'Mosher Masses 1.0 18'!D22</f>
        <v>24.298286007605217</v>
      </c>
      <c r="D24" s="5">
        <f>(B24*391)/(2220000*10.9)*1000/'Mosher Masses 1.0 18'!E22</f>
        <v>2.1544480260076589E-3</v>
      </c>
      <c r="E24" s="7">
        <f>AVERAGE(C24:C25)</f>
        <v>12.149143003802608</v>
      </c>
      <c r="F24" s="20">
        <f>STDEV(C24:C26)/E24</f>
        <v>1.406979685970871</v>
      </c>
    </row>
    <row r="25" spans="1:15" x14ac:dyDescent="0.25">
      <c r="A25" t="s">
        <v>100</v>
      </c>
      <c r="B25">
        <v>0</v>
      </c>
      <c r="C25" s="4">
        <f>(B25*391)/(2220000*10.9)*1000/'Mosher Masses 1.0 18'!D23</f>
        <v>0</v>
      </c>
      <c r="D25" s="5">
        <f>(B25*391)/(2220000*10.9)*1000/'Mosher Masses 1.0 18'!E23</f>
        <v>0</v>
      </c>
    </row>
    <row r="26" spans="1:15" x14ac:dyDescent="0.25">
      <c r="A26" t="s">
        <v>101</v>
      </c>
      <c r="B26">
        <v>3</v>
      </c>
      <c r="C26" s="4">
        <f>(B26*391)/(2220000*10.9)*1000/'Mosher Masses 1.0 18'!D24</f>
        <v>32.976245296035621</v>
      </c>
      <c r="D26" s="5">
        <v>3.2316720390114886E-3</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2</v>
      </c>
      <c r="C32">
        <v>1</v>
      </c>
      <c r="D32">
        <v>0</v>
      </c>
      <c r="E32">
        <v>1</v>
      </c>
      <c r="F32">
        <v>1</v>
      </c>
      <c r="G32" s="21"/>
      <c r="I32" t="s">
        <v>102</v>
      </c>
      <c r="J32">
        <v>17</v>
      </c>
      <c r="L32">
        <v>0</v>
      </c>
      <c r="M32">
        <v>0</v>
      </c>
      <c r="N32">
        <v>0</v>
      </c>
      <c r="O32">
        <v>0</v>
      </c>
    </row>
    <row r="33" spans="1:15" x14ac:dyDescent="0.25">
      <c r="A33" t="s">
        <v>123</v>
      </c>
      <c r="B33">
        <v>24</v>
      </c>
      <c r="C33">
        <v>2</v>
      </c>
      <c r="D33">
        <v>5</v>
      </c>
      <c r="E33">
        <v>267</v>
      </c>
      <c r="F33">
        <v>3</v>
      </c>
      <c r="G33" s="21">
        <f t="shared" ref="G33:G38" si="0">(E33)/(SUM(B33+C33+D33+E33+F33))</f>
        <v>0.8870431893687708</v>
      </c>
      <c r="L33">
        <v>0</v>
      </c>
      <c r="M33">
        <v>0</v>
      </c>
      <c r="N33">
        <v>0</v>
      </c>
      <c r="O33">
        <v>0</v>
      </c>
    </row>
    <row r="34" spans="1:15" x14ac:dyDescent="0.25">
      <c r="A34" t="s">
        <v>124</v>
      </c>
      <c r="B34">
        <v>86</v>
      </c>
      <c r="C34">
        <v>9</v>
      </c>
      <c r="D34">
        <v>10</v>
      </c>
      <c r="E34">
        <v>515</v>
      </c>
      <c r="F34">
        <v>3</v>
      </c>
      <c r="G34" s="21">
        <f t="shared" si="0"/>
        <v>0.826645264847512</v>
      </c>
      <c r="L34">
        <v>0</v>
      </c>
      <c r="M34">
        <v>0</v>
      </c>
      <c r="N34">
        <v>0</v>
      </c>
      <c r="O34">
        <v>0</v>
      </c>
    </row>
    <row r="35" spans="1:15" x14ac:dyDescent="0.25">
      <c r="A35" t="s">
        <v>125</v>
      </c>
      <c r="B35">
        <v>155</v>
      </c>
      <c r="C35">
        <v>18</v>
      </c>
      <c r="D35">
        <v>15</v>
      </c>
      <c r="E35">
        <v>480</v>
      </c>
      <c r="F35">
        <v>3</v>
      </c>
      <c r="G35" s="21">
        <f t="shared" si="0"/>
        <v>0.71535022354694489</v>
      </c>
      <c r="L35">
        <v>3</v>
      </c>
      <c r="M35">
        <v>1778</v>
      </c>
      <c r="N35" s="4">
        <f>M35*0.89</f>
        <v>1582.42</v>
      </c>
      <c r="O35" s="4">
        <f>M35-N35</f>
        <v>195.57999999999993</v>
      </c>
    </row>
    <row r="36" spans="1:15" x14ac:dyDescent="0.25">
      <c r="A36" t="s">
        <v>180</v>
      </c>
      <c r="B36">
        <v>210</v>
      </c>
      <c r="C36">
        <v>16</v>
      </c>
      <c r="D36">
        <v>11</v>
      </c>
      <c r="E36">
        <v>609</v>
      </c>
      <c r="F36">
        <v>2</v>
      </c>
      <c r="G36" s="21">
        <f t="shared" si="0"/>
        <v>0.71816037735849059</v>
      </c>
      <c r="L36">
        <v>3</v>
      </c>
      <c r="M36">
        <v>1650</v>
      </c>
      <c r="N36" s="4">
        <f t="shared" ref="N36:N37" si="1">M36*0.89</f>
        <v>1468.5</v>
      </c>
      <c r="O36" s="4">
        <f t="shared" ref="O36:O52" si="2">M36-N36</f>
        <v>181.5</v>
      </c>
    </row>
    <row r="37" spans="1:15" x14ac:dyDescent="0.25">
      <c r="A37" t="s">
        <v>126</v>
      </c>
      <c r="B37">
        <v>349</v>
      </c>
      <c r="C37">
        <v>21</v>
      </c>
      <c r="D37">
        <v>24</v>
      </c>
      <c r="E37">
        <v>637</v>
      </c>
      <c r="F37">
        <v>1</v>
      </c>
      <c r="G37" s="21">
        <f t="shared" si="0"/>
        <v>0.61724806201550386</v>
      </c>
      <c r="L37">
        <v>3</v>
      </c>
      <c r="M37">
        <v>1715</v>
      </c>
      <c r="N37" s="4">
        <f t="shared" si="1"/>
        <v>1526.3500000000001</v>
      </c>
      <c r="O37" s="4">
        <f t="shared" si="2"/>
        <v>188.64999999999986</v>
      </c>
    </row>
    <row r="38" spans="1:15" x14ac:dyDescent="0.25">
      <c r="A38" t="s">
        <v>127</v>
      </c>
      <c r="B38">
        <v>593</v>
      </c>
      <c r="C38">
        <v>42</v>
      </c>
      <c r="D38">
        <v>30</v>
      </c>
      <c r="E38">
        <v>770</v>
      </c>
      <c r="F38">
        <v>2</v>
      </c>
      <c r="G38" s="21">
        <f t="shared" si="0"/>
        <v>0.53583855254001389</v>
      </c>
      <c r="L38">
        <v>6</v>
      </c>
      <c r="M38">
        <v>1974</v>
      </c>
      <c r="N38" s="4">
        <f>M38*0.83</f>
        <v>1638.4199999999998</v>
      </c>
      <c r="O38" s="4">
        <f t="shared" si="2"/>
        <v>335.58000000000015</v>
      </c>
    </row>
    <row r="39" spans="1:15" x14ac:dyDescent="0.25">
      <c r="L39">
        <v>6</v>
      </c>
      <c r="M39">
        <v>3050</v>
      </c>
      <c r="N39" s="4">
        <f t="shared" ref="N39:N40" si="3">M39*0.83</f>
        <v>2531.5</v>
      </c>
      <c r="O39" s="4">
        <f t="shared" si="2"/>
        <v>518.5</v>
      </c>
    </row>
    <row r="40" spans="1:15" x14ac:dyDescent="0.25">
      <c r="L40">
        <v>6</v>
      </c>
      <c r="M40">
        <v>1606</v>
      </c>
      <c r="N40" s="4">
        <f t="shared" si="3"/>
        <v>1332.98</v>
      </c>
      <c r="O40" s="4">
        <f t="shared" si="2"/>
        <v>273.02</v>
      </c>
    </row>
    <row r="41" spans="1:15" x14ac:dyDescent="0.25">
      <c r="L41">
        <v>12</v>
      </c>
      <c r="M41">
        <v>3549</v>
      </c>
      <c r="N41" s="4">
        <f>M41*0.72</f>
        <v>2555.2799999999997</v>
      </c>
      <c r="O41" s="4">
        <f t="shared" si="2"/>
        <v>993.72000000000025</v>
      </c>
    </row>
    <row r="42" spans="1:15" x14ac:dyDescent="0.25">
      <c r="L42">
        <v>12</v>
      </c>
      <c r="M42">
        <v>2830</v>
      </c>
      <c r="N42" s="4">
        <f t="shared" ref="N42:N46" si="4">M42*0.72</f>
        <v>2037.6</v>
      </c>
      <c r="O42" s="4">
        <f t="shared" si="2"/>
        <v>792.40000000000009</v>
      </c>
    </row>
    <row r="43" spans="1:15" x14ac:dyDescent="0.25">
      <c r="L43">
        <v>12</v>
      </c>
      <c r="M43">
        <v>2528</v>
      </c>
      <c r="N43" s="4">
        <f t="shared" si="4"/>
        <v>1820.1599999999999</v>
      </c>
      <c r="O43" s="4">
        <f t="shared" si="2"/>
        <v>707.84000000000015</v>
      </c>
    </row>
    <row r="44" spans="1:15" x14ac:dyDescent="0.25">
      <c r="L44">
        <v>16</v>
      </c>
      <c r="M44">
        <v>3721</v>
      </c>
      <c r="N44" s="4">
        <f t="shared" si="4"/>
        <v>2679.12</v>
      </c>
      <c r="O44" s="4">
        <f t="shared" si="2"/>
        <v>1041.8800000000001</v>
      </c>
    </row>
    <row r="45" spans="1:15" x14ac:dyDescent="0.25">
      <c r="L45">
        <v>16</v>
      </c>
      <c r="M45">
        <v>4446</v>
      </c>
      <c r="N45" s="4">
        <f t="shared" si="4"/>
        <v>3201.12</v>
      </c>
      <c r="O45" s="4">
        <f t="shared" si="2"/>
        <v>1244.8800000000001</v>
      </c>
    </row>
    <row r="46" spans="1:15" x14ac:dyDescent="0.25">
      <c r="L46">
        <v>16</v>
      </c>
      <c r="M46">
        <v>3900</v>
      </c>
      <c r="N46" s="4">
        <f t="shared" si="4"/>
        <v>2808</v>
      </c>
      <c r="O46" s="4">
        <f t="shared" si="2"/>
        <v>1092</v>
      </c>
    </row>
    <row r="47" spans="1:15" x14ac:dyDescent="0.25">
      <c r="L47">
        <v>24</v>
      </c>
      <c r="M47">
        <v>6057</v>
      </c>
      <c r="N47" s="4">
        <f>M47*0.62</f>
        <v>3755.34</v>
      </c>
      <c r="O47" s="4">
        <f t="shared" si="2"/>
        <v>2301.66</v>
      </c>
    </row>
    <row r="48" spans="1:15" x14ac:dyDescent="0.25">
      <c r="L48">
        <v>24</v>
      </c>
      <c r="M48">
        <v>6696</v>
      </c>
      <c r="N48" s="4">
        <f t="shared" ref="N48:N49" si="5">M48*0.62</f>
        <v>4151.5199999999995</v>
      </c>
      <c r="O48" s="4">
        <f t="shared" si="2"/>
        <v>2544.4800000000005</v>
      </c>
    </row>
    <row r="49" spans="12:15" x14ac:dyDescent="0.25">
      <c r="L49">
        <v>24</v>
      </c>
      <c r="M49">
        <v>4582</v>
      </c>
      <c r="N49" s="4">
        <f t="shared" si="5"/>
        <v>2840.84</v>
      </c>
      <c r="O49" s="4">
        <f t="shared" si="2"/>
        <v>1741.1599999999999</v>
      </c>
    </row>
    <row r="50" spans="12:15" x14ac:dyDescent="0.25">
      <c r="L50">
        <v>36</v>
      </c>
      <c r="M50">
        <v>6639</v>
      </c>
      <c r="N50" s="4">
        <f>M50*0.54</f>
        <v>3585.0600000000004</v>
      </c>
      <c r="O50" s="4">
        <f t="shared" si="2"/>
        <v>3053.9399999999996</v>
      </c>
    </row>
    <row r="51" spans="12:15" x14ac:dyDescent="0.25">
      <c r="L51">
        <v>36</v>
      </c>
      <c r="M51">
        <v>8194</v>
      </c>
      <c r="N51" s="4">
        <f t="shared" ref="N51:N52" si="6">M51*0.54</f>
        <v>4424.76</v>
      </c>
      <c r="O51" s="4">
        <f t="shared" si="2"/>
        <v>3769.24</v>
      </c>
    </row>
    <row r="52" spans="12:15" x14ac:dyDescent="0.25">
      <c r="L52">
        <v>36</v>
      </c>
      <c r="M52">
        <v>5984</v>
      </c>
      <c r="N52" s="4">
        <f t="shared" si="6"/>
        <v>3231.36</v>
      </c>
      <c r="O52" s="4">
        <f t="shared" si="2"/>
        <v>2752.64</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I46"/>
  <sheetViews>
    <sheetView topLeftCell="A8" workbookViewId="0">
      <selection activeCell="C32" sqref="C32"/>
    </sheetView>
  </sheetViews>
  <sheetFormatPr defaultColWidth="11" defaultRowHeight="15.75" x14ac:dyDescent="0.25"/>
  <cols>
    <col min="2" max="2" width="22.375" customWidth="1"/>
    <col min="6" max="6" width="11.875" customWidth="1"/>
  </cols>
  <sheetData>
    <row r="1" spans="1:9" x14ac:dyDescent="0.25">
      <c r="C1" t="s">
        <v>102</v>
      </c>
      <c r="D1">
        <v>21</v>
      </c>
      <c r="E1">
        <v>17</v>
      </c>
    </row>
    <row r="3" spans="1:9" x14ac:dyDescent="0.25">
      <c r="A3" t="s">
        <v>75</v>
      </c>
      <c r="B3" t="s">
        <v>129</v>
      </c>
      <c r="C3" t="s">
        <v>130</v>
      </c>
      <c r="D3" t="s">
        <v>131</v>
      </c>
      <c r="E3" t="s">
        <v>132</v>
      </c>
      <c r="F3" t="s">
        <v>133</v>
      </c>
      <c r="H3" t="s">
        <v>134</v>
      </c>
    </row>
    <row r="4" spans="1:9" x14ac:dyDescent="0.25">
      <c r="A4" t="s">
        <v>136</v>
      </c>
      <c r="B4">
        <v>0</v>
      </c>
      <c r="C4">
        <f>B4/10</f>
        <v>0</v>
      </c>
      <c r="D4" s="4">
        <f>(C4*391*1000)/(2220000*10.9)</f>
        <v>0</v>
      </c>
      <c r="E4" s="4"/>
    </row>
    <row r="5" spans="1:9" x14ac:dyDescent="0.25">
      <c r="A5" t="s">
        <v>137</v>
      </c>
      <c r="B5">
        <v>93</v>
      </c>
      <c r="C5">
        <f>B5/2000</f>
        <v>4.65E-2</v>
      </c>
      <c r="D5" s="2">
        <f>(C5*391*1000)/(2220000*10.9)</f>
        <v>7.5136374907017113E-4</v>
      </c>
      <c r="E5" s="4">
        <f>D5*1000*1000</f>
        <v>751.36374907017114</v>
      </c>
    </row>
    <row r="6" spans="1:9" x14ac:dyDescent="0.25">
      <c r="A6" t="s">
        <v>138</v>
      </c>
      <c r="B6">
        <v>55</v>
      </c>
      <c r="C6">
        <f t="shared" ref="C6:C31" si="0">B6/2000</f>
        <v>2.75E-2</v>
      </c>
      <c r="D6" s="2">
        <f t="shared" ref="D6:D31" si="1">(C6*391*1000)/(2220000*10.9)</f>
        <v>4.4435490536407965E-4</v>
      </c>
      <c r="E6" s="4">
        <f t="shared" ref="E6:E31" si="2">D6*1000*1000</f>
        <v>444.35490536407968</v>
      </c>
    </row>
    <row r="7" spans="1:9" x14ac:dyDescent="0.25">
      <c r="A7" t="s">
        <v>139</v>
      </c>
      <c r="B7">
        <v>46</v>
      </c>
      <c r="C7">
        <f t="shared" si="0"/>
        <v>2.3E-2</v>
      </c>
      <c r="D7" s="2">
        <f t="shared" si="1"/>
        <v>3.7164228448632121E-4</v>
      </c>
      <c r="E7" s="4">
        <f t="shared" si="2"/>
        <v>371.64228448632122</v>
      </c>
    </row>
    <row r="8" spans="1:9" x14ac:dyDescent="0.25">
      <c r="A8" t="s">
        <v>181</v>
      </c>
      <c r="B8">
        <v>55</v>
      </c>
      <c r="C8">
        <f t="shared" si="0"/>
        <v>2.75E-2</v>
      </c>
      <c r="D8" s="2">
        <f t="shared" si="1"/>
        <v>4.4435490536407965E-4</v>
      </c>
      <c r="E8" s="4">
        <f t="shared" si="2"/>
        <v>444.35490536407968</v>
      </c>
    </row>
    <row r="9" spans="1:9" x14ac:dyDescent="0.25">
      <c r="A9" t="s">
        <v>140</v>
      </c>
      <c r="B9">
        <v>46</v>
      </c>
      <c r="C9">
        <f t="shared" si="0"/>
        <v>2.3E-2</v>
      </c>
      <c r="D9" s="2">
        <f t="shared" si="1"/>
        <v>3.7164228448632121E-4</v>
      </c>
      <c r="E9" s="4">
        <f t="shared" si="2"/>
        <v>371.64228448632122</v>
      </c>
    </row>
    <row r="10" spans="1:9" x14ac:dyDescent="0.25">
      <c r="A10" t="s">
        <v>141</v>
      </c>
      <c r="B10">
        <v>56</v>
      </c>
      <c r="C10">
        <f t="shared" si="0"/>
        <v>2.8000000000000001E-2</v>
      </c>
      <c r="D10" s="2">
        <f t="shared" si="1"/>
        <v>4.5243408546160842E-4</v>
      </c>
      <c r="E10" s="4">
        <f t="shared" si="2"/>
        <v>452.43408546160839</v>
      </c>
    </row>
    <row r="11" spans="1:9" x14ac:dyDescent="0.25">
      <c r="A11" t="s">
        <v>143</v>
      </c>
      <c r="B11">
        <v>56</v>
      </c>
      <c r="C11">
        <f t="shared" si="0"/>
        <v>2.8000000000000001E-2</v>
      </c>
      <c r="D11" s="2">
        <f t="shared" si="1"/>
        <v>4.5243408546160842E-4</v>
      </c>
      <c r="E11" s="4">
        <f t="shared" si="2"/>
        <v>452.43408546160839</v>
      </c>
      <c r="F11" s="4">
        <f>AVERAGE(E11:E13)</f>
        <v>452.43408546160845</v>
      </c>
      <c r="G11" s="20">
        <f>STDEV(E11:E13)/F11</f>
        <v>1.7857142857142884E-2</v>
      </c>
      <c r="H11" s="13">
        <f>E11/1000</f>
        <v>0.4524340854616084</v>
      </c>
      <c r="I11">
        <v>3</v>
      </c>
    </row>
    <row r="12" spans="1:9" x14ac:dyDescent="0.25">
      <c r="A12" t="s">
        <v>144</v>
      </c>
      <c r="B12">
        <v>55</v>
      </c>
      <c r="C12">
        <f t="shared" si="0"/>
        <v>2.75E-2</v>
      </c>
      <c r="D12" s="2">
        <f t="shared" si="1"/>
        <v>4.4435490536407965E-4</v>
      </c>
      <c r="E12" s="4">
        <f t="shared" si="2"/>
        <v>444.35490536407968</v>
      </c>
      <c r="H12" s="13">
        <f t="shared" ref="H12:H28" si="3">E12/1000</f>
        <v>0.44435490536407968</v>
      </c>
      <c r="I12">
        <v>3</v>
      </c>
    </row>
    <row r="13" spans="1:9" x14ac:dyDescent="0.25">
      <c r="A13" t="s">
        <v>145</v>
      </c>
      <c r="B13">
        <v>57</v>
      </c>
      <c r="C13">
        <f t="shared" si="0"/>
        <v>2.8500000000000001E-2</v>
      </c>
      <c r="D13" s="2">
        <f t="shared" si="1"/>
        <v>4.6051326555913714E-4</v>
      </c>
      <c r="E13" s="4">
        <f t="shared" si="2"/>
        <v>460.51326555913715</v>
      </c>
      <c r="H13" s="13">
        <f t="shared" si="3"/>
        <v>0.46051326555913713</v>
      </c>
      <c r="I13">
        <v>3</v>
      </c>
    </row>
    <row r="14" spans="1:9" x14ac:dyDescent="0.25">
      <c r="A14" t="s">
        <v>146</v>
      </c>
      <c r="B14">
        <v>43</v>
      </c>
      <c r="C14">
        <f t="shared" si="0"/>
        <v>2.1499999999999998E-2</v>
      </c>
      <c r="D14" s="2">
        <f t="shared" si="1"/>
        <v>3.4740474419373501E-4</v>
      </c>
      <c r="E14" s="4">
        <f t="shared" si="2"/>
        <v>347.40474419373504</v>
      </c>
      <c r="F14" s="4">
        <f>AVERAGE(E14:E16)</f>
        <v>368.94922445381161</v>
      </c>
      <c r="G14" s="20">
        <f>STDEV(E14:E16)/F14</f>
        <v>0.12060373461210443</v>
      </c>
      <c r="H14" s="13">
        <f t="shared" si="3"/>
        <v>0.34740474419373502</v>
      </c>
      <c r="I14">
        <v>6</v>
      </c>
    </row>
    <row r="15" spans="1:9" x14ac:dyDescent="0.25">
      <c r="A15" t="s">
        <v>147</v>
      </c>
      <c r="B15">
        <v>42</v>
      </c>
      <c r="C15">
        <f t="shared" si="0"/>
        <v>2.1000000000000001E-2</v>
      </c>
      <c r="D15" s="2">
        <f t="shared" si="1"/>
        <v>3.3932556409620629E-4</v>
      </c>
      <c r="E15" s="4">
        <f t="shared" si="2"/>
        <v>339.32556409620628</v>
      </c>
      <c r="H15" s="13">
        <f t="shared" si="3"/>
        <v>0.33932556409620629</v>
      </c>
      <c r="I15">
        <v>6</v>
      </c>
    </row>
    <row r="16" spans="1:9" x14ac:dyDescent="0.25">
      <c r="A16" t="s">
        <v>148</v>
      </c>
      <c r="B16">
        <v>52</v>
      </c>
      <c r="C16">
        <f t="shared" si="0"/>
        <v>2.5999999999999999E-2</v>
      </c>
      <c r="D16" s="2">
        <f t="shared" si="1"/>
        <v>4.2011736507149351E-4</v>
      </c>
      <c r="E16" s="4">
        <f t="shared" si="2"/>
        <v>420.11736507149351</v>
      </c>
      <c r="H16" s="13">
        <f t="shared" si="3"/>
        <v>0.4201173650714935</v>
      </c>
      <c r="I16">
        <v>6</v>
      </c>
    </row>
    <row r="17" spans="1:9" x14ac:dyDescent="0.25">
      <c r="A17" t="s">
        <v>149</v>
      </c>
      <c r="B17">
        <v>34</v>
      </c>
      <c r="C17">
        <f t="shared" si="0"/>
        <v>1.7000000000000001E-2</v>
      </c>
      <c r="D17" s="2">
        <f t="shared" si="1"/>
        <v>2.7469212331597651E-4</v>
      </c>
      <c r="E17" s="4">
        <f t="shared" si="2"/>
        <v>274.69212331597652</v>
      </c>
      <c r="F17" s="4">
        <f>AVERAGE(E17:E19)</f>
        <v>339.32556409620628</v>
      </c>
      <c r="G17" s="20">
        <f>STDEV(E17:E19)/F17</f>
        <v>0.2034286606027981</v>
      </c>
      <c r="H17" s="13">
        <f t="shared" si="3"/>
        <v>0.27469212331597653</v>
      </c>
      <c r="I17">
        <v>12</v>
      </c>
    </row>
    <row r="18" spans="1:9" x14ac:dyDescent="0.25">
      <c r="A18" t="s">
        <v>150</v>
      </c>
      <c r="B18">
        <v>51</v>
      </c>
      <c r="C18">
        <f t="shared" si="0"/>
        <v>2.5499999999999998E-2</v>
      </c>
      <c r="D18" s="2">
        <f t="shared" si="1"/>
        <v>4.1203818497396479E-4</v>
      </c>
      <c r="E18" s="4">
        <f t="shared" si="2"/>
        <v>412.03818497396475</v>
      </c>
      <c r="H18" s="13">
        <f t="shared" si="3"/>
        <v>0.41203818497396477</v>
      </c>
      <c r="I18">
        <v>12</v>
      </c>
    </row>
    <row r="19" spans="1:9" x14ac:dyDescent="0.25">
      <c r="A19" t="s">
        <v>151</v>
      </c>
      <c r="B19">
        <v>41</v>
      </c>
      <c r="C19">
        <f t="shared" si="0"/>
        <v>2.0500000000000001E-2</v>
      </c>
      <c r="D19" s="2">
        <f t="shared" si="1"/>
        <v>3.3124638399867763E-4</v>
      </c>
      <c r="E19" s="4">
        <f t="shared" si="2"/>
        <v>331.24638399867763</v>
      </c>
      <c r="H19" s="13">
        <f t="shared" si="3"/>
        <v>0.33124638399867762</v>
      </c>
      <c r="I19">
        <v>12</v>
      </c>
    </row>
    <row r="20" spans="1:9" x14ac:dyDescent="0.25">
      <c r="A20" t="s">
        <v>182</v>
      </c>
      <c r="B20">
        <v>36</v>
      </c>
      <c r="C20">
        <f t="shared" si="0"/>
        <v>1.7999999999999999E-2</v>
      </c>
      <c r="D20" s="2">
        <f t="shared" si="1"/>
        <v>2.9085048351103394E-4</v>
      </c>
      <c r="E20" s="4">
        <f t="shared" si="2"/>
        <v>290.85048351103393</v>
      </c>
      <c r="F20" s="4">
        <f>AVERAGE(E20:E22)</f>
        <v>312.39496377111055</v>
      </c>
      <c r="G20" s="20">
        <f>STDEV(E20:E22)/F20</f>
        <v>0.11945177983233644</v>
      </c>
      <c r="H20" s="13">
        <f t="shared" si="3"/>
        <v>0.29085048351103393</v>
      </c>
      <c r="I20">
        <v>16</v>
      </c>
    </row>
    <row r="21" spans="1:9" x14ac:dyDescent="0.25">
      <c r="A21" t="s">
        <v>183</v>
      </c>
      <c r="B21">
        <v>36</v>
      </c>
      <c r="C21">
        <f t="shared" si="0"/>
        <v>1.7999999999999999E-2</v>
      </c>
      <c r="D21" s="2">
        <f t="shared" si="1"/>
        <v>2.9085048351103394E-4</v>
      </c>
      <c r="E21" s="4">
        <f t="shared" si="2"/>
        <v>290.85048351103393</v>
      </c>
      <c r="H21" s="13">
        <f t="shared" si="3"/>
        <v>0.29085048351103393</v>
      </c>
      <c r="I21">
        <v>16</v>
      </c>
    </row>
    <row r="22" spans="1:9" x14ac:dyDescent="0.25">
      <c r="A22" t="s">
        <v>184</v>
      </c>
      <c r="B22">
        <v>44</v>
      </c>
      <c r="C22">
        <f t="shared" si="0"/>
        <v>2.1999999999999999E-2</v>
      </c>
      <c r="D22" s="2">
        <f t="shared" si="1"/>
        <v>3.5548392429126372E-4</v>
      </c>
      <c r="E22" s="4">
        <f t="shared" si="2"/>
        <v>355.48392429126375</v>
      </c>
      <c r="H22" s="13">
        <f t="shared" si="3"/>
        <v>0.35548392429126374</v>
      </c>
      <c r="I22">
        <v>16</v>
      </c>
    </row>
    <row r="23" spans="1:9" x14ac:dyDescent="0.25">
      <c r="A23" t="s">
        <v>152</v>
      </c>
      <c r="B23">
        <v>38</v>
      </c>
      <c r="C23">
        <f t="shared" si="0"/>
        <v>1.9E-2</v>
      </c>
      <c r="D23" s="2">
        <f t="shared" si="1"/>
        <v>3.0700884370609137E-4</v>
      </c>
      <c r="E23" s="4">
        <f t="shared" si="2"/>
        <v>307.0088437060914</v>
      </c>
      <c r="F23" s="4">
        <f>AVERAGE(E23:E25)</f>
        <v>325.86026393365842</v>
      </c>
      <c r="G23" s="20">
        <f>STDEV(E23:E25)/F23</f>
        <v>5.1611553705771911E-2</v>
      </c>
      <c r="H23" s="13">
        <f t="shared" si="3"/>
        <v>0.30700884370609138</v>
      </c>
      <c r="I23">
        <v>24</v>
      </c>
    </row>
    <row r="24" spans="1:9" x14ac:dyDescent="0.25">
      <c r="A24" t="s">
        <v>153</v>
      </c>
      <c r="B24">
        <v>41</v>
      </c>
      <c r="C24">
        <f t="shared" si="0"/>
        <v>2.0500000000000001E-2</v>
      </c>
      <c r="D24" s="2">
        <f t="shared" si="1"/>
        <v>3.3124638399867763E-4</v>
      </c>
      <c r="E24" s="4">
        <f t="shared" si="2"/>
        <v>331.24638399867763</v>
      </c>
      <c r="H24" s="13">
        <f t="shared" si="3"/>
        <v>0.33124638399867762</v>
      </c>
      <c r="I24">
        <v>24</v>
      </c>
    </row>
    <row r="25" spans="1:9" x14ac:dyDescent="0.25">
      <c r="A25" t="s">
        <v>154</v>
      </c>
      <c r="B25">
        <v>42</v>
      </c>
      <c r="C25">
        <f t="shared" si="0"/>
        <v>2.1000000000000001E-2</v>
      </c>
      <c r="D25" s="2">
        <f t="shared" si="1"/>
        <v>3.3932556409620629E-4</v>
      </c>
      <c r="E25" s="4">
        <f t="shared" si="2"/>
        <v>339.32556409620628</v>
      </c>
      <c r="H25" s="13">
        <f t="shared" si="3"/>
        <v>0.33932556409620629</v>
      </c>
      <c r="I25">
        <v>24</v>
      </c>
    </row>
    <row r="26" spans="1:9" x14ac:dyDescent="0.25">
      <c r="A26" t="s">
        <v>155</v>
      </c>
      <c r="B26">
        <v>40</v>
      </c>
      <c r="C26">
        <f t="shared" si="0"/>
        <v>0.02</v>
      </c>
      <c r="D26" s="2">
        <f t="shared" si="1"/>
        <v>3.2316720390114886E-4</v>
      </c>
      <c r="E26" s="4">
        <f t="shared" si="2"/>
        <v>323.16720390114881</v>
      </c>
      <c r="F26" s="4">
        <f>AVERAGE(E26:E28)</f>
        <v>358.1769843237733</v>
      </c>
      <c r="G26" s="20">
        <f>STDEV(E26:E28)/F26</f>
        <v>0.18916910714900964</v>
      </c>
      <c r="H26" s="13">
        <f t="shared" si="3"/>
        <v>0.32316720390114884</v>
      </c>
      <c r="I26">
        <v>36</v>
      </c>
    </row>
    <row r="27" spans="1:9" x14ac:dyDescent="0.25">
      <c r="A27" t="s">
        <v>156</v>
      </c>
      <c r="B27">
        <v>39</v>
      </c>
      <c r="C27">
        <f t="shared" si="0"/>
        <v>1.95E-2</v>
      </c>
      <c r="D27" s="2">
        <f t="shared" si="1"/>
        <v>3.1508802380362014E-4</v>
      </c>
      <c r="E27" s="4">
        <f t="shared" si="2"/>
        <v>315.08802380362016</v>
      </c>
      <c r="H27" s="13">
        <f t="shared" si="3"/>
        <v>0.31508802380362017</v>
      </c>
      <c r="I27">
        <v>36</v>
      </c>
    </row>
    <row r="28" spans="1:9" x14ac:dyDescent="0.25">
      <c r="A28" t="s">
        <v>157</v>
      </c>
      <c r="B28">
        <v>54</v>
      </c>
      <c r="C28">
        <f t="shared" si="0"/>
        <v>2.7E-2</v>
      </c>
      <c r="D28" s="2">
        <f t="shared" si="1"/>
        <v>4.3627572526655094E-4</v>
      </c>
      <c r="E28" s="4">
        <f t="shared" si="2"/>
        <v>436.27572526655098</v>
      </c>
      <c r="H28" s="13">
        <f t="shared" si="3"/>
        <v>0.43627572526655095</v>
      </c>
      <c r="I28">
        <v>36</v>
      </c>
    </row>
    <row r="29" spans="1:9" x14ac:dyDescent="0.25">
      <c r="A29" t="s">
        <v>99</v>
      </c>
      <c r="B29">
        <v>3</v>
      </c>
      <c r="C29">
        <f t="shared" si="0"/>
        <v>1.5E-3</v>
      </c>
      <c r="D29" s="2">
        <f t="shared" si="1"/>
        <v>2.4237540292586165E-5</v>
      </c>
      <c r="E29" s="4">
        <f t="shared" si="2"/>
        <v>24.237540292586164</v>
      </c>
      <c r="F29" s="4">
        <f>AVERAGE(E29:E31)</f>
        <v>21.544480260076593</v>
      </c>
    </row>
    <row r="30" spans="1:9" x14ac:dyDescent="0.25">
      <c r="A30" t="s">
        <v>100</v>
      </c>
      <c r="B30">
        <v>3</v>
      </c>
      <c r="C30">
        <f t="shared" si="0"/>
        <v>1.5E-3</v>
      </c>
      <c r="D30" s="2">
        <f t="shared" si="1"/>
        <v>2.4237540292586165E-5</v>
      </c>
      <c r="E30" s="4">
        <f t="shared" si="2"/>
        <v>24.237540292586164</v>
      </c>
    </row>
    <row r="31" spans="1:9" x14ac:dyDescent="0.25">
      <c r="A31" t="s">
        <v>101</v>
      </c>
      <c r="B31">
        <v>2</v>
      </c>
      <c r="C31">
        <f t="shared" si="0"/>
        <v>1E-3</v>
      </c>
      <c r="D31" s="2">
        <f t="shared" si="1"/>
        <v>1.6158360195057442E-5</v>
      </c>
      <c r="E31" s="4">
        <f t="shared" si="2"/>
        <v>16.158360195057444</v>
      </c>
    </row>
    <row r="32" spans="1:9" x14ac:dyDescent="0.25">
      <c r="D32" s="2"/>
      <c r="E32" s="4"/>
    </row>
    <row r="33" spans="1:5" x14ac:dyDescent="0.25">
      <c r="D33" s="2"/>
      <c r="E33" s="4"/>
    </row>
    <row r="34" spans="1:5" x14ac:dyDescent="0.25">
      <c r="A34" s="14" t="s">
        <v>164</v>
      </c>
      <c r="B34" s="14">
        <f t="array" ref="B34:C38">LINEST(E11:E28,I11:I28,TRUE,TRUE)</f>
        <v>-2.0265381637914253</v>
      </c>
      <c r="C34" s="15">
        <v>392.28588132132273</v>
      </c>
      <c r="D34" s="16" t="s">
        <v>165</v>
      </c>
      <c r="E34" s="17"/>
    </row>
    <row r="35" spans="1:5" x14ac:dyDescent="0.25">
      <c r="A35" s="14" t="s">
        <v>166</v>
      </c>
      <c r="B35" s="14">
        <v>1.2300334074863672</v>
      </c>
      <c r="C35" s="15">
        <v>24.171538770645316</v>
      </c>
      <c r="D35" s="16" t="s">
        <v>166</v>
      </c>
      <c r="E35" s="17"/>
    </row>
    <row r="36" spans="1:5" x14ac:dyDescent="0.25">
      <c r="A36" s="14" t="s">
        <v>167</v>
      </c>
      <c r="B36" s="14">
        <v>0.14504393528408629</v>
      </c>
      <c r="C36" s="15">
        <v>58.300209907905248</v>
      </c>
      <c r="D36" s="16" t="s">
        <v>168</v>
      </c>
      <c r="E36" s="17"/>
    </row>
    <row r="37" spans="1:5" x14ac:dyDescent="0.25">
      <c r="A37" s="14" t="s">
        <v>169</v>
      </c>
      <c r="B37" s="14">
        <v>2.7144119567319613</v>
      </c>
      <c r="C37" s="15">
        <v>16</v>
      </c>
      <c r="D37" s="16" t="s">
        <v>170</v>
      </c>
      <c r="E37" s="17"/>
    </row>
    <row r="38" spans="1:5" x14ac:dyDescent="0.25">
      <c r="A38" s="14" t="s">
        <v>171</v>
      </c>
      <c r="B38" s="14">
        <v>9226.0540916794416</v>
      </c>
      <c r="C38" s="15">
        <v>54382.631604893017</v>
      </c>
      <c r="D38" s="16" t="s">
        <v>172</v>
      </c>
      <c r="E38" s="17"/>
    </row>
    <row r="39" spans="1:5" x14ac:dyDescent="0.25">
      <c r="D39" s="2"/>
      <c r="E39" s="4"/>
    </row>
    <row r="40" spans="1:5" x14ac:dyDescent="0.25">
      <c r="D40" s="2"/>
      <c r="E40" s="4"/>
    </row>
    <row r="41" spans="1:5" x14ac:dyDescent="0.25">
      <c r="A41" s="14" t="s">
        <v>173</v>
      </c>
      <c r="B41" s="14">
        <f>B34/B35</f>
        <v>-1.6475472547796519</v>
      </c>
      <c r="D41" s="2"/>
      <c r="E41" s="4"/>
    </row>
    <row r="42" spans="1:5" x14ac:dyDescent="0.25">
      <c r="A42" s="14" t="s">
        <v>174</v>
      </c>
      <c r="B42" s="14">
        <f>TDIST(ABS(B41),C37,2)</f>
        <v>0.11894091108463792</v>
      </c>
      <c r="C42" t="s">
        <v>175</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sheetPr>
  <dimension ref="A1:F24"/>
  <sheetViews>
    <sheetView workbookViewId="0">
      <selection activeCell="I21" sqref="I21"/>
    </sheetView>
  </sheetViews>
  <sheetFormatPr defaultColWidth="11" defaultRowHeight="15.75" x14ac:dyDescent="0.25"/>
  <cols>
    <col min="2" max="2" width="16.375" customWidth="1"/>
    <col min="3" max="3" width="20.375" customWidth="1"/>
    <col min="4" max="4" width="18.375" customWidth="1"/>
    <col min="5" max="5" width="8" customWidth="1"/>
    <col min="6" max="6" width="21.625" customWidth="1"/>
  </cols>
  <sheetData>
    <row r="1" spans="1:6" x14ac:dyDescent="0.25">
      <c r="A1" s="1" t="s">
        <v>185</v>
      </c>
    </row>
    <row r="3" spans="1:6" x14ac:dyDescent="0.25">
      <c r="A3" t="s">
        <v>75</v>
      </c>
      <c r="B3" t="s">
        <v>76</v>
      </c>
      <c r="C3" t="s">
        <v>77</v>
      </c>
      <c r="D3" t="s">
        <v>78</v>
      </c>
      <c r="E3" t="s">
        <v>79</v>
      </c>
      <c r="F3" t="s">
        <v>80</v>
      </c>
    </row>
    <row r="4" spans="1:6" x14ac:dyDescent="0.25">
      <c r="A4" t="s">
        <v>81</v>
      </c>
      <c r="B4">
        <v>7.152E-2</v>
      </c>
      <c r="C4">
        <v>7.3270000000000002E-2</v>
      </c>
      <c r="D4">
        <f>C4-B4</f>
        <v>1.7500000000000016E-3</v>
      </c>
      <c r="E4">
        <v>14</v>
      </c>
      <c r="F4" s="2">
        <f>D4/E4</f>
        <v>1.2500000000000011E-4</v>
      </c>
    </row>
    <row r="5" spans="1:6" x14ac:dyDescent="0.25">
      <c r="A5" t="s">
        <v>82</v>
      </c>
      <c r="B5">
        <v>5.8049999999999997E-2</v>
      </c>
      <c r="C5">
        <v>5.9479999999999998E-2</v>
      </c>
      <c r="D5">
        <f t="shared" ref="D5:D24" si="0">C5-B5</f>
        <v>1.4300000000000007E-3</v>
      </c>
      <c r="E5">
        <v>15</v>
      </c>
      <c r="F5" s="2">
        <f t="shared" ref="F5:F24" si="1">D5/E5</f>
        <v>9.5333333333333378E-5</v>
      </c>
    </row>
    <row r="6" spans="1:6" x14ac:dyDescent="0.25">
      <c r="A6" t="s">
        <v>83</v>
      </c>
      <c r="B6">
        <v>6.2260000000000003E-2</v>
      </c>
      <c r="C6">
        <v>6.4380000000000007E-2</v>
      </c>
      <c r="D6">
        <f t="shared" si="0"/>
        <v>2.1200000000000038E-3</v>
      </c>
      <c r="E6">
        <v>15</v>
      </c>
      <c r="F6" s="2">
        <f t="shared" si="1"/>
        <v>1.4133333333333359E-4</v>
      </c>
    </row>
    <row r="7" spans="1:6" x14ac:dyDescent="0.25">
      <c r="A7" t="s">
        <v>84</v>
      </c>
      <c r="B7">
        <v>5.7540000000000001E-2</v>
      </c>
      <c r="C7">
        <v>5.9409999999999998E-2</v>
      </c>
      <c r="D7">
        <f t="shared" si="0"/>
        <v>1.8699999999999967E-3</v>
      </c>
      <c r="E7">
        <v>15</v>
      </c>
      <c r="F7" s="2">
        <f t="shared" si="1"/>
        <v>1.2466666666666645E-4</v>
      </c>
    </row>
    <row r="8" spans="1:6" x14ac:dyDescent="0.25">
      <c r="A8" t="s">
        <v>85</v>
      </c>
      <c r="B8">
        <v>7.2660000000000002E-2</v>
      </c>
      <c r="C8">
        <v>7.4310000000000001E-2</v>
      </c>
      <c r="D8">
        <f t="shared" si="0"/>
        <v>1.6499999999999987E-3</v>
      </c>
      <c r="E8">
        <v>14</v>
      </c>
      <c r="F8" s="2">
        <f t="shared" si="1"/>
        <v>1.1785714285714276E-4</v>
      </c>
    </row>
    <row r="9" spans="1:6" x14ac:dyDescent="0.25">
      <c r="A9" t="s">
        <v>86</v>
      </c>
      <c r="B9">
        <v>7.6170000000000002E-2</v>
      </c>
      <c r="C9">
        <v>7.8090000000000007E-2</v>
      </c>
      <c r="D9">
        <f t="shared" si="0"/>
        <v>1.920000000000005E-3</v>
      </c>
      <c r="E9">
        <v>15</v>
      </c>
      <c r="F9" s="2">
        <f t="shared" si="1"/>
        <v>1.2800000000000035E-4</v>
      </c>
    </row>
    <row r="10" spans="1:6" x14ac:dyDescent="0.25">
      <c r="A10" t="s">
        <v>87</v>
      </c>
      <c r="B10">
        <v>8.2729999999999998E-2</v>
      </c>
      <c r="C10">
        <v>8.4099999999999994E-2</v>
      </c>
      <c r="D10">
        <f t="shared" si="0"/>
        <v>1.3699999999999962E-3</v>
      </c>
      <c r="E10">
        <v>14</v>
      </c>
      <c r="F10" s="2">
        <f t="shared" si="1"/>
        <v>9.7857142857142587E-5</v>
      </c>
    </row>
    <row r="11" spans="1:6" x14ac:dyDescent="0.25">
      <c r="A11" t="s">
        <v>88</v>
      </c>
      <c r="B11">
        <v>6.2839999999999993E-2</v>
      </c>
      <c r="C11">
        <v>6.4259999999999998E-2</v>
      </c>
      <c r="D11">
        <f t="shared" si="0"/>
        <v>1.4200000000000046E-3</v>
      </c>
      <c r="E11">
        <v>15</v>
      </c>
      <c r="F11" s="2">
        <f t="shared" si="1"/>
        <v>9.4666666666666971E-5</v>
      </c>
    </row>
    <row r="12" spans="1:6" x14ac:dyDescent="0.25">
      <c r="A12" t="s">
        <v>89</v>
      </c>
      <c r="B12">
        <v>6.4460000000000003E-2</v>
      </c>
      <c r="C12">
        <v>6.6159999999999997E-2</v>
      </c>
      <c r="D12">
        <f t="shared" si="0"/>
        <v>1.6999999999999932E-3</v>
      </c>
      <c r="E12">
        <v>15</v>
      </c>
      <c r="F12" s="2">
        <f>D12/E12</f>
        <v>1.1333333333333288E-4</v>
      </c>
    </row>
    <row r="13" spans="1:6" x14ac:dyDescent="0.25">
      <c r="A13" t="s">
        <v>177</v>
      </c>
      <c r="B13">
        <v>6.9220000000000004E-2</v>
      </c>
      <c r="C13">
        <v>7.1110000000000007E-2</v>
      </c>
      <c r="D13">
        <f t="shared" si="0"/>
        <v>1.8900000000000028E-3</v>
      </c>
      <c r="E13">
        <v>15</v>
      </c>
      <c r="F13" s="2">
        <f t="shared" si="1"/>
        <v>1.2600000000000019E-4</v>
      </c>
    </row>
    <row r="14" spans="1:6" x14ac:dyDescent="0.25">
      <c r="A14" t="s">
        <v>178</v>
      </c>
      <c r="B14">
        <v>6.9089999999999999E-2</v>
      </c>
      <c r="C14">
        <v>7.0540000000000005E-2</v>
      </c>
      <c r="D14">
        <f t="shared" si="0"/>
        <v>1.4500000000000068E-3</v>
      </c>
      <c r="E14">
        <v>15</v>
      </c>
      <c r="F14" s="2">
        <f t="shared" si="1"/>
        <v>9.6666666666667128E-5</v>
      </c>
    </row>
    <row r="15" spans="1:6" x14ac:dyDescent="0.25">
      <c r="A15" t="s">
        <v>179</v>
      </c>
      <c r="B15">
        <v>7.5289999999999996E-2</v>
      </c>
      <c r="C15">
        <v>7.6749999999999999E-2</v>
      </c>
      <c r="D15">
        <f t="shared" si="0"/>
        <v>1.460000000000003E-3</v>
      </c>
      <c r="E15">
        <v>14</v>
      </c>
      <c r="F15" s="2">
        <f t="shared" si="1"/>
        <v>1.042857142857145E-4</v>
      </c>
    </row>
    <row r="16" spans="1:6" x14ac:dyDescent="0.25">
      <c r="A16" t="s">
        <v>90</v>
      </c>
      <c r="B16">
        <v>6.769E-2</v>
      </c>
      <c r="C16">
        <v>6.9339999999999999E-2</v>
      </c>
      <c r="D16">
        <f t="shared" si="0"/>
        <v>1.6499999999999987E-3</v>
      </c>
      <c r="E16">
        <v>15</v>
      </c>
      <c r="F16" s="2">
        <f t="shared" si="1"/>
        <v>1.0999999999999991E-4</v>
      </c>
    </row>
    <row r="17" spans="1:6" x14ac:dyDescent="0.25">
      <c r="A17" t="s">
        <v>91</v>
      </c>
      <c r="B17">
        <v>7.3800000000000004E-2</v>
      </c>
      <c r="C17">
        <v>7.5340000000000004E-2</v>
      </c>
      <c r="D17">
        <f t="shared" si="0"/>
        <v>1.5399999999999997E-3</v>
      </c>
      <c r="E17">
        <v>15</v>
      </c>
      <c r="F17" s="2">
        <f t="shared" si="1"/>
        <v>1.0266666666666665E-4</v>
      </c>
    </row>
    <row r="18" spans="1:6" x14ac:dyDescent="0.25">
      <c r="A18" t="s">
        <v>92</v>
      </c>
      <c r="B18">
        <v>6.3469999999999999E-2</v>
      </c>
      <c r="C18">
        <v>6.479E-2</v>
      </c>
      <c r="D18">
        <f t="shared" si="0"/>
        <v>1.3200000000000017E-3</v>
      </c>
      <c r="E18">
        <v>14</v>
      </c>
      <c r="F18" s="2">
        <f t="shared" si="1"/>
        <v>9.4285714285714407E-5</v>
      </c>
    </row>
    <row r="19" spans="1:6" x14ac:dyDescent="0.25">
      <c r="A19" t="s">
        <v>93</v>
      </c>
      <c r="B19">
        <v>5.6180000000000001E-2</v>
      </c>
      <c r="C19">
        <v>5.8169999999999999E-2</v>
      </c>
      <c r="D19">
        <f t="shared" si="0"/>
        <v>1.9899999999999987E-3</v>
      </c>
      <c r="E19">
        <v>16</v>
      </c>
      <c r="F19" s="2">
        <f t="shared" si="1"/>
        <v>1.2437499999999992E-4</v>
      </c>
    </row>
    <row r="20" spans="1:6" x14ac:dyDescent="0.25">
      <c r="A20" t="s">
        <v>94</v>
      </c>
      <c r="B20">
        <v>5.5870000000000003E-2</v>
      </c>
      <c r="C20">
        <v>5.7360000000000001E-2</v>
      </c>
      <c r="D20">
        <f t="shared" si="0"/>
        <v>1.4899999999999983E-3</v>
      </c>
      <c r="E20">
        <v>15</v>
      </c>
      <c r="F20" s="2">
        <f t="shared" si="1"/>
        <v>9.9333333333333218E-5</v>
      </c>
    </row>
    <row r="21" spans="1:6" x14ac:dyDescent="0.25">
      <c r="A21" t="s">
        <v>95</v>
      </c>
      <c r="B21">
        <v>6.2280000000000002E-2</v>
      </c>
      <c r="C21">
        <v>6.4079999999999998E-2</v>
      </c>
      <c r="D21">
        <f t="shared" si="0"/>
        <v>1.799999999999996E-3</v>
      </c>
      <c r="E21">
        <v>17</v>
      </c>
      <c r="F21" s="2">
        <f t="shared" si="1"/>
        <v>1.0588235294117624E-4</v>
      </c>
    </row>
    <row r="22" spans="1:6" x14ac:dyDescent="0.25">
      <c r="A22" t="s">
        <v>99</v>
      </c>
      <c r="B22">
        <v>5.5410000000000001E-2</v>
      </c>
      <c r="C22">
        <v>5.6779999999999997E-2</v>
      </c>
      <c r="D22">
        <f t="shared" si="0"/>
        <v>1.3699999999999962E-3</v>
      </c>
      <c r="E22">
        <v>16</v>
      </c>
      <c r="F22" s="2">
        <f t="shared" si="1"/>
        <v>8.5624999999999764E-5</v>
      </c>
    </row>
    <row r="23" spans="1:6" x14ac:dyDescent="0.25">
      <c r="A23" t="s">
        <v>100</v>
      </c>
      <c r="B23">
        <v>6.9199999999999998E-2</v>
      </c>
      <c r="C23">
        <v>7.041E-2</v>
      </c>
      <c r="D23">
        <f t="shared" si="0"/>
        <v>1.2100000000000027E-3</v>
      </c>
      <c r="E23">
        <v>15</v>
      </c>
      <c r="F23" s="2">
        <f t="shared" si="1"/>
        <v>8.0666666666666848E-5</v>
      </c>
    </row>
    <row r="24" spans="1:6" x14ac:dyDescent="0.25">
      <c r="A24" t="s">
        <v>101</v>
      </c>
      <c r="B24">
        <v>7.3569999999999997E-2</v>
      </c>
      <c r="C24">
        <v>7.4620000000000006E-2</v>
      </c>
      <c r="D24">
        <f t="shared" si="0"/>
        <v>1.0500000000000093E-3</v>
      </c>
      <c r="E24">
        <v>15</v>
      </c>
      <c r="F24" s="2">
        <f t="shared" si="1"/>
        <v>7.0000000000000617E-5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S52"/>
  <sheetViews>
    <sheetView topLeftCell="D8" workbookViewId="0">
      <selection activeCell="S17" sqref="S17"/>
    </sheetView>
  </sheetViews>
  <sheetFormatPr defaultColWidth="11" defaultRowHeight="15.75" x14ac:dyDescent="0.25"/>
  <cols>
    <col min="1" max="1" width="13.125" customWidth="1"/>
    <col min="2" max="2" width="23.5" customWidth="1"/>
    <col min="5" max="5" width="15.625" customWidth="1"/>
  </cols>
  <sheetData>
    <row r="1" spans="1:10" x14ac:dyDescent="0.25">
      <c r="D1" t="s">
        <v>102</v>
      </c>
      <c r="E1">
        <v>20</v>
      </c>
    </row>
    <row r="3" spans="1:10" x14ac:dyDescent="0.25">
      <c r="A3" t="s">
        <v>75</v>
      </c>
      <c r="B3" t="s">
        <v>103</v>
      </c>
      <c r="C3" t="s">
        <v>104</v>
      </c>
      <c r="D3" t="s">
        <v>105</v>
      </c>
      <c r="E3" t="s">
        <v>106</v>
      </c>
      <c r="G3">
        <v>0</v>
      </c>
    </row>
    <row r="4" spans="1:10" x14ac:dyDescent="0.25">
      <c r="A4" t="s">
        <v>108</v>
      </c>
      <c r="B4">
        <v>6</v>
      </c>
      <c r="D4">
        <v>0</v>
      </c>
      <c r="E4">
        <v>0</v>
      </c>
      <c r="G4">
        <v>0</v>
      </c>
    </row>
    <row r="5" spans="1:10" x14ac:dyDescent="0.25">
      <c r="A5" t="s">
        <v>109</v>
      </c>
      <c r="B5">
        <v>1</v>
      </c>
      <c r="D5">
        <v>0</v>
      </c>
      <c r="E5">
        <v>0</v>
      </c>
      <c r="G5">
        <v>0</v>
      </c>
    </row>
    <row r="6" spans="1:10" x14ac:dyDescent="0.25">
      <c r="A6" t="s">
        <v>81</v>
      </c>
      <c r="B6">
        <v>145</v>
      </c>
      <c r="C6" s="4">
        <f>(B6*391)/(2220000*10.9)*1000/'Mosher Masses 6.0 18'!D4</f>
        <v>1338.8355590190442</v>
      </c>
      <c r="D6" s="5">
        <f>(B6*391)/(2220000*10.9)*1000/'Mosher Masses 6.0 18'!E4</f>
        <v>0.16735444487738069</v>
      </c>
      <c r="E6" s="4">
        <f>AVERAGE(C6:C8)</f>
        <v>1413.9181925230032</v>
      </c>
      <c r="F6" s="20">
        <f>STDEV(C6:C8)/E6</f>
        <v>6.9095964592999062E-2</v>
      </c>
      <c r="G6">
        <v>3</v>
      </c>
      <c r="I6" t="s">
        <v>110</v>
      </c>
      <c r="J6" t="s">
        <v>106</v>
      </c>
    </row>
    <row r="7" spans="1:10" x14ac:dyDescent="0.25">
      <c r="A7" t="s">
        <v>82</v>
      </c>
      <c r="B7">
        <v>122</v>
      </c>
      <c r="C7" s="4">
        <f>(B7*391)/(2220000*10.9)*1000/'Mosher Masses 6.0 18'!D5</f>
        <v>1378.5454152426621</v>
      </c>
      <c r="D7" s="5">
        <f>(B7*391)/(2220000*10.9)*1000/'Mosher Masses 6.0 18'!E5</f>
        <v>0.13142132958646718</v>
      </c>
      <c r="G7">
        <v>3</v>
      </c>
      <c r="I7">
        <v>3</v>
      </c>
    </row>
    <row r="8" spans="1:10" x14ac:dyDescent="0.25">
      <c r="A8" t="s">
        <v>83</v>
      </c>
      <c r="B8">
        <v>200</v>
      </c>
      <c r="C8" s="4">
        <f>(B8*391)/(2220000*10.9)*1000/'Mosher Masses 6.0 18'!D6</f>
        <v>1524.3736033073033</v>
      </c>
      <c r="D8" s="5">
        <f>(B8*391)/(2220000*10.9)*1000/'Mosher Masses 6.0 18'!E6</f>
        <v>0.21544480260076593</v>
      </c>
      <c r="G8">
        <v>3</v>
      </c>
      <c r="I8">
        <v>6</v>
      </c>
    </row>
    <row r="9" spans="1:10" x14ac:dyDescent="0.25">
      <c r="A9" t="s">
        <v>84</v>
      </c>
      <c r="B9">
        <v>267</v>
      </c>
      <c r="C9" s="4">
        <f>(B9*391)/(2220000*10.9)*1000/'Mosher Masses 6.0 18'!D7</f>
        <v>2307.1027658183662</v>
      </c>
      <c r="D9" s="5">
        <f>(B9*391)/(2220000*10.9)*1000/'Mosher Masses 6.0 18'!E7</f>
        <v>0.28761881147202245</v>
      </c>
      <c r="E9" s="4">
        <f>AVERAGE(C9:C11)</f>
        <v>1796.9365059387994</v>
      </c>
      <c r="F9" s="20">
        <f>STDEV(C9:C11)/E9</f>
        <v>0.26994120317104936</v>
      </c>
      <c r="G9">
        <v>6</v>
      </c>
      <c r="I9">
        <v>12</v>
      </c>
    </row>
    <row r="10" spans="1:10" x14ac:dyDescent="0.25">
      <c r="A10" t="s">
        <v>85</v>
      </c>
      <c r="B10">
        <v>137</v>
      </c>
      <c r="C10" s="4">
        <f>(B10*391)/(2220000*10.9)*1000/'Mosher Masses 6.0 18'!D8</f>
        <v>1341.6335434684067</v>
      </c>
      <c r="D10" s="5">
        <f>(B10*391)/(2220000*10.9)*1000/'Mosher Masses 6.0 18'!E8</f>
        <v>0.15812109619449069</v>
      </c>
      <c r="G10">
        <v>6</v>
      </c>
      <c r="I10">
        <v>16</v>
      </c>
    </row>
    <row r="11" spans="1:10" x14ac:dyDescent="0.25">
      <c r="A11" t="s">
        <v>86</v>
      </c>
      <c r="B11">
        <v>207</v>
      </c>
      <c r="C11" s="4">
        <f>(B11*391)/(2220000*10.9)*1000/'Mosher Masses 6.0 18'!D9</f>
        <v>1742.0732085296261</v>
      </c>
      <c r="D11" s="5">
        <f>(B11*391)/(2220000*10.9)*1000/'Mosher Masses 6.0 18'!E9</f>
        <v>0.22298537069179272</v>
      </c>
      <c r="G11">
        <v>6</v>
      </c>
      <c r="I11">
        <v>24</v>
      </c>
    </row>
    <row r="12" spans="1:10" x14ac:dyDescent="0.25">
      <c r="A12" t="s">
        <v>87</v>
      </c>
      <c r="B12">
        <v>305</v>
      </c>
      <c r="C12" s="4">
        <f>(B12*391)/(2220000*10.9)*1000/'Mosher Masses 6.0 18'!D10</f>
        <v>3597.2991675127987</v>
      </c>
      <c r="D12" s="5">
        <f>(B12*391)/(2220000*10.9)*1000/'Mosher Masses 6.0 18'!E10</f>
        <v>0.35202141853518004</v>
      </c>
      <c r="E12" s="4">
        <f>AVERAGE(C12:C14)</f>
        <v>2917.7048763077673</v>
      </c>
      <c r="F12" s="20">
        <f>STDEV(C12:C14)/E12</f>
        <v>0.22673426997465043</v>
      </c>
      <c r="G12">
        <v>12</v>
      </c>
      <c r="I12">
        <v>36</v>
      </c>
    </row>
    <row r="13" spans="1:10" x14ac:dyDescent="0.25">
      <c r="A13" t="s">
        <v>88</v>
      </c>
      <c r="B13">
        <v>200</v>
      </c>
      <c r="C13" s="4">
        <f>(B13*391)/(2220000*10.9)*1000/'Mosher Masses 6.0 18'!D11</f>
        <v>2275.825379585548</v>
      </c>
      <c r="D13" s="5">
        <f>(B13*391)/(2220000*10.9)*1000/'Mosher Masses 6.0 18'!E11</f>
        <v>0.21544480260076593</v>
      </c>
      <c r="G13">
        <v>12</v>
      </c>
    </row>
    <row r="14" spans="1:10" x14ac:dyDescent="0.25">
      <c r="A14" t="s">
        <v>89</v>
      </c>
      <c r="B14">
        <v>303</v>
      </c>
      <c r="C14" s="4">
        <f>(B14*391)/(2220000*10.9)*1000/'Mosher Masses 6.0 18'!D12</f>
        <v>2879.9900818249557</v>
      </c>
      <c r="D14" s="5">
        <f>(B14*391)/(2220000*10.9)*1000/'Mosher Masses 6.0 18'!E12</f>
        <v>0.32639887594016037</v>
      </c>
      <c r="G14">
        <v>12</v>
      </c>
    </row>
    <row r="15" spans="1:10" x14ac:dyDescent="0.25">
      <c r="A15" t="s">
        <v>177</v>
      </c>
      <c r="B15">
        <v>408</v>
      </c>
      <c r="C15" s="4">
        <f>(B15*391)/(2220000*10.9)*1000/'Mosher Masses 6.0 18'!D13</f>
        <v>3488.1539468695378</v>
      </c>
      <c r="D15" s="5">
        <f>(B15*391)/(2220000*10.9)*1000/'Mosher Masses 6.0 18'!E13</f>
        <v>0.43950739730556243</v>
      </c>
      <c r="E15" s="4">
        <f>AVERAGE(C15:C17)</f>
        <v>4063.7682440461344</v>
      </c>
      <c r="F15" s="20">
        <f>STDEV(C15:C17)/E15</f>
        <v>0.17496541991851416</v>
      </c>
      <c r="G15">
        <v>16</v>
      </c>
    </row>
    <row r="16" spans="1:10" x14ac:dyDescent="0.25">
      <c r="A16" t="s">
        <v>178</v>
      </c>
      <c r="B16">
        <v>345</v>
      </c>
      <c r="C16" s="4">
        <f>(B16*391)/(2220000*10.9)*1000/'Mosher Masses 6.0 18'!D14</f>
        <v>3844.5753567550287</v>
      </c>
      <c r="D16" s="5">
        <f>(B16*391)/(2220000*10.9)*1000/'Mosher Masses 6.0 18'!E14</f>
        <v>0.37164228448632119</v>
      </c>
      <c r="G16">
        <v>16</v>
      </c>
      <c r="I16">
        <v>0</v>
      </c>
      <c r="J16">
        <v>0</v>
      </c>
    </row>
    <row r="17" spans="1:19" x14ac:dyDescent="0.25">
      <c r="A17" t="s">
        <v>179</v>
      </c>
      <c r="B17">
        <v>439</v>
      </c>
      <c r="C17" s="4">
        <f>(B17*391)/(2220000*10.9)*1000/'Mosher Masses 6.0 18'!D15</f>
        <v>4858.5754285138373</v>
      </c>
      <c r="D17" s="5">
        <f>(B17*391)/(2220000*10.9)*1000/'Mosher Masses 6.0 18'!E15</f>
        <v>0.50668000897358689</v>
      </c>
      <c r="G17">
        <v>16</v>
      </c>
      <c r="I17">
        <v>3</v>
      </c>
      <c r="J17">
        <v>1414</v>
      </c>
    </row>
    <row r="18" spans="1:19" x14ac:dyDescent="0.25">
      <c r="A18" t="s">
        <v>90</v>
      </c>
      <c r="B18">
        <v>484</v>
      </c>
      <c r="C18" s="4">
        <f>(B18*391)/(2220000*10.9)*1000/'Mosher Masses 6.0 18'!D16</f>
        <v>4739.7856572168539</v>
      </c>
      <c r="D18" s="5">
        <f>(B18*391)/(2220000*10.9)*1000/'Mosher Masses 6.0 18'!E16</f>
        <v>0.5213764222938535</v>
      </c>
      <c r="E18" s="4">
        <f>AVERAGE(C18:C20)</f>
        <v>4746.3142875986896</v>
      </c>
      <c r="F18" s="20">
        <f>STDEV(C18:C20)/E18</f>
        <v>0.19601462387159357</v>
      </c>
      <c r="G18">
        <v>24</v>
      </c>
      <c r="I18">
        <v>6</v>
      </c>
      <c r="J18">
        <v>1797</v>
      </c>
    </row>
    <row r="19" spans="1:19" x14ac:dyDescent="0.25">
      <c r="A19" t="s">
        <v>91</v>
      </c>
      <c r="B19">
        <v>364</v>
      </c>
      <c r="C19" s="4">
        <f>(B19*391)/(2220000*10.9)*1000/'Mosher Masses 6.0 18'!D17</f>
        <v>3819.2487733772141</v>
      </c>
      <c r="D19" s="5">
        <f>(B19*391)/(2220000*10.9)*1000/'Mosher Masses 6.0 18'!E17</f>
        <v>0.39210954073339388</v>
      </c>
      <c r="G19">
        <v>24</v>
      </c>
      <c r="I19">
        <v>12</v>
      </c>
      <c r="J19">
        <v>2918</v>
      </c>
    </row>
    <row r="20" spans="1:19" x14ac:dyDescent="0.25">
      <c r="A20" t="s">
        <v>92</v>
      </c>
      <c r="B20">
        <v>464</v>
      </c>
      <c r="C20" s="4">
        <f>(B20*391)/(2220000*10.9)*1000/'Mosher Masses 6.0 18'!D18</f>
        <v>5679.9084322020026</v>
      </c>
      <c r="D20" s="5">
        <f>(B20*391)/(2220000*10.9)*1000/'Mosher Masses 6.0 18'!E18</f>
        <v>0.53553422360761815</v>
      </c>
      <c r="G20">
        <v>24</v>
      </c>
      <c r="I20">
        <v>16</v>
      </c>
      <c r="J20">
        <v>4064</v>
      </c>
    </row>
    <row r="21" spans="1:19" x14ac:dyDescent="0.25">
      <c r="A21" t="s">
        <v>93</v>
      </c>
      <c r="B21">
        <v>676</v>
      </c>
      <c r="C21" s="4">
        <f>(B21*391)/(2220000*10.9)*1000/'Mosher Masses 6.0 18'!D19</f>
        <v>5488.9705989240392</v>
      </c>
      <c r="D21" s="5">
        <f>(B21*391)/(2220000*10.9)*1000/'Mosher Masses 6.0 18'!E19</f>
        <v>0.68269071824117689</v>
      </c>
      <c r="E21" s="4">
        <f>AVERAGE(C21:C23)</f>
        <v>5611.910067521465</v>
      </c>
      <c r="F21" s="20">
        <f>STDEV(C21:C23)/E21</f>
        <v>0.14838196859393282</v>
      </c>
      <c r="G21">
        <v>36</v>
      </c>
      <c r="I21">
        <v>24</v>
      </c>
      <c r="J21">
        <v>4746</v>
      </c>
    </row>
    <row r="22" spans="1:19" x14ac:dyDescent="0.25">
      <c r="A22" t="s">
        <v>94</v>
      </c>
      <c r="B22">
        <v>447</v>
      </c>
      <c r="C22" s="4">
        <f>(B22*391)/(2220000*10.9)*1000/'Mosher Masses 6.0 18'!D20</f>
        <v>4847.5080585172382</v>
      </c>
      <c r="D22" s="5">
        <f>(B22*391)/(2220000*10.9)*1000/'Mosher Masses 6.0 18'!E20</f>
        <v>0.48151913381271177</v>
      </c>
      <c r="G22">
        <v>36</v>
      </c>
      <c r="I22">
        <v>36</v>
      </c>
      <c r="J22">
        <v>5612</v>
      </c>
    </row>
    <row r="23" spans="1:19" x14ac:dyDescent="0.25">
      <c r="A23" t="s">
        <v>95</v>
      </c>
      <c r="B23">
        <v>724</v>
      </c>
      <c r="C23" s="4">
        <f>(B23*391)/(2220000*10.9)*1000/'Mosher Masses 6.0 18'!D21</f>
        <v>6499.2515451231184</v>
      </c>
      <c r="D23" s="5">
        <f>(B23*391)/(2220000*10.9)*1000/'Mosher Masses 6.0 18'!E21</f>
        <v>0.68815604595421109</v>
      </c>
      <c r="G23">
        <v>36</v>
      </c>
    </row>
    <row r="24" spans="1:19" x14ac:dyDescent="0.25">
      <c r="A24" t="s">
        <v>99</v>
      </c>
      <c r="B24">
        <v>1</v>
      </c>
      <c r="C24" s="4">
        <f>(B24*391)/(2220000*10.9)*1000/'Mosher Masses 6.0 18'!D22</f>
        <v>11.794423500041962</v>
      </c>
      <c r="D24" s="5">
        <f>(B24*391)/(2220000*10.9)*1000/'Mosher Masses 6.0 18'!E22</f>
        <v>1.0098975121910902E-3</v>
      </c>
      <c r="E24" s="7">
        <f>AVERAGE(C24:C25)</f>
        <v>5.8972117500209809</v>
      </c>
      <c r="F24" s="20">
        <f>STDEV(C24:C26)/E24</f>
        <v>1.1547005383792515</v>
      </c>
    </row>
    <row r="25" spans="1:19" x14ac:dyDescent="0.25">
      <c r="A25" t="s">
        <v>100</v>
      </c>
      <c r="B25">
        <v>0</v>
      </c>
      <c r="C25" s="4">
        <f>(B25*391)/(2220000*10.9)*1000/'Mosher Masses 6.0 18'!D23</f>
        <v>0</v>
      </c>
      <c r="D25" s="5">
        <f>(B25*391)/(2220000*10.9)*1000/'Mosher Masses 6.0 18'!E23</f>
        <v>0</v>
      </c>
    </row>
    <row r="26" spans="1:19" x14ac:dyDescent="0.25">
      <c r="A26" t="s">
        <v>101</v>
      </c>
      <c r="B26">
        <v>0</v>
      </c>
      <c r="C26" s="4">
        <f>(B26*391)/(2220000*10.9)*1000/'Mosher Masses 6.0 18'!D24</f>
        <v>0</v>
      </c>
      <c r="D26" s="5">
        <f>(B26*391)/(2220000*10.9)*1000/'Mosher Masses 6.0 18'!E24</f>
        <v>0</v>
      </c>
    </row>
    <row r="31" spans="1:19" x14ac:dyDescent="0.25">
      <c r="A31" s="1" t="s">
        <v>112</v>
      </c>
      <c r="B31" t="s">
        <v>113</v>
      </c>
      <c r="C31" t="s">
        <v>114</v>
      </c>
      <c r="D31" t="s">
        <v>115</v>
      </c>
      <c r="E31" t="s">
        <v>116</v>
      </c>
      <c r="F31" t="s">
        <v>117</v>
      </c>
      <c r="G31" t="s">
        <v>118</v>
      </c>
      <c r="L31" t="s">
        <v>110</v>
      </c>
      <c r="M31" t="s">
        <v>119</v>
      </c>
      <c r="N31" t="s">
        <v>120</v>
      </c>
      <c r="O31" t="s">
        <v>121</v>
      </c>
      <c r="Q31" t="s">
        <v>186</v>
      </c>
      <c r="R31" t="s">
        <v>187</v>
      </c>
      <c r="S31" t="s">
        <v>188</v>
      </c>
    </row>
    <row r="32" spans="1:19" x14ac:dyDescent="0.25">
      <c r="A32" t="s">
        <v>122</v>
      </c>
      <c r="B32">
        <v>0</v>
      </c>
      <c r="C32">
        <v>0</v>
      </c>
      <c r="D32">
        <v>0</v>
      </c>
      <c r="E32">
        <v>0</v>
      </c>
      <c r="F32">
        <v>0</v>
      </c>
      <c r="G32" s="21"/>
      <c r="I32" t="s">
        <v>102</v>
      </c>
      <c r="J32">
        <v>20</v>
      </c>
      <c r="L32">
        <v>0</v>
      </c>
      <c r="M32">
        <v>0</v>
      </c>
      <c r="N32">
        <v>0</v>
      </c>
      <c r="O32">
        <v>0</v>
      </c>
      <c r="Q32">
        <v>0</v>
      </c>
      <c r="R32">
        <v>0</v>
      </c>
      <c r="S32">
        <v>0</v>
      </c>
    </row>
    <row r="33" spans="1:19" x14ac:dyDescent="0.25">
      <c r="A33" t="s">
        <v>123</v>
      </c>
      <c r="B33">
        <v>11</v>
      </c>
      <c r="C33">
        <v>1</v>
      </c>
      <c r="D33">
        <v>5</v>
      </c>
      <c r="E33">
        <v>298</v>
      </c>
      <c r="F33">
        <v>0</v>
      </c>
      <c r="G33" s="21">
        <f t="shared" ref="G33:G38" si="0">(E33)/(SUM(B33+C33+D33+E33+F33))</f>
        <v>0.946031746031746</v>
      </c>
      <c r="L33">
        <v>0</v>
      </c>
      <c r="M33">
        <v>0</v>
      </c>
      <c r="N33">
        <v>0</v>
      </c>
      <c r="O33">
        <v>0</v>
      </c>
      <c r="Q33">
        <v>3</v>
      </c>
      <c r="R33" s="4">
        <f>AVERAGE(N35:N37)</f>
        <v>1343.3</v>
      </c>
      <c r="S33" s="4">
        <f>AVERAGE(O35:O37)</f>
        <v>70.700000000000045</v>
      </c>
    </row>
    <row r="34" spans="1:19" x14ac:dyDescent="0.25">
      <c r="A34" t="s">
        <v>124</v>
      </c>
      <c r="B34">
        <v>32</v>
      </c>
      <c r="C34">
        <v>2</v>
      </c>
      <c r="D34">
        <v>8</v>
      </c>
      <c r="E34">
        <v>331</v>
      </c>
      <c r="F34">
        <v>0</v>
      </c>
      <c r="G34" s="21">
        <f t="shared" si="0"/>
        <v>0.88739946380697055</v>
      </c>
      <c r="L34">
        <v>0</v>
      </c>
      <c r="M34">
        <v>0</v>
      </c>
      <c r="N34">
        <v>0</v>
      </c>
      <c r="O34">
        <v>0</v>
      </c>
      <c r="Q34">
        <v>6</v>
      </c>
      <c r="R34" s="4">
        <f>AVERAGE(N38:N40)</f>
        <v>1599.33</v>
      </c>
      <c r="S34" s="4">
        <f>AVERAGE(O38:O40)</f>
        <v>197.66999999999993</v>
      </c>
    </row>
    <row r="35" spans="1:19" x14ac:dyDescent="0.25">
      <c r="A35" t="s">
        <v>125</v>
      </c>
      <c r="B35">
        <v>80</v>
      </c>
      <c r="C35">
        <v>1</v>
      </c>
      <c r="D35">
        <v>7</v>
      </c>
      <c r="E35">
        <v>403</v>
      </c>
      <c r="F35">
        <v>0</v>
      </c>
      <c r="G35" s="21">
        <f t="shared" si="0"/>
        <v>0.8207739307535642</v>
      </c>
      <c r="L35">
        <v>3</v>
      </c>
      <c r="M35">
        <v>1339</v>
      </c>
      <c r="N35" s="4">
        <f>M35*0.95</f>
        <v>1272.05</v>
      </c>
      <c r="O35" s="4">
        <f>M35-N35</f>
        <v>66.950000000000045</v>
      </c>
      <c r="Q35">
        <v>12</v>
      </c>
      <c r="R35" s="4">
        <f>AVERAGE(N41:N43)</f>
        <v>2392.4866666666662</v>
      </c>
      <c r="S35" s="4">
        <f>AVERAGE(O41:O43)</f>
        <v>525.18000000000006</v>
      </c>
    </row>
    <row r="36" spans="1:19" x14ac:dyDescent="0.25">
      <c r="A36" t="s">
        <v>180</v>
      </c>
      <c r="B36">
        <v>158</v>
      </c>
      <c r="C36">
        <v>4</v>
      </c>
      <c r="D36">
        <v>11</v>
      </c>
      <c r="E36">
        <v>550</v>
      </c>
      <c r="F36">
        <v>2</v>
      </c>
      <c r="G36" s="21">
        <f t="shared" si="0"/>
        <v>0.75862068965517238</v>
      </c>
      <c r="L36">
        <v>3</v>
      </c>
      <c r="M36">
        <v>1379</v>
      </c>
      <c r="N36" s="4">
        <f t="shared" ref="N36:N37" si="1">M36*0.95</f>
        <v>1310.05</v>
      </c>
      <c r="O36" s="4">
        <f t="shared" ref="O36:O52" si="2">M36-N36</f>
        <v>68.950000000000045</v>
      </c>
      <c r="Q36">
        <v>16</v>
      </c>
      <c r="R36" s="4">
        <f>AVERAGE(N44:N46)</f>
        <v>3088.64</v>
      </c>
      <c r="S36" s="4">
        <f>AVERAGE(O44:O46)</f>
        <v>975.36</v>
      </c>
    </row>
    <row r="37" spans="1:19" x14ac:dyDescent="0.25">
      <c r="A37" t="s">
        <v>126</v>
      </c>
      <c r="B37">
        <v>235</v>
      </c>
      <c r="C37">
        <v>12</v>
      </c>
      <c r="D37">
        <v>13</v>
      </c>
      <c r="E37">
        <v>494</v>
      </c>
      <c r="F37">
        <v>7</v>
      </c>
      <c r="G37" s="21">
        <f t="shared" si="0"/>
        <v>0.64914586070959268</v>
      </c>
      <c r="L37">
        <v>3</v>
      </c>
      <c r="M37">
        <v>1524</v>
      </c>
      <c r="N37" s="4">
        <f t="shared" si="1"/>
        <v>1447.8</v>
      </c>
      <c r="O37" s="4">
        <f t="shared" si="2"/>
        <v>76.200000000000045</v>
      </c>
      <c r="Q37">
        <v>24</v>
      </c>
      <c r="R37" s="4">
        <f>AVERAGE(N47:N49)</f>
        <v>3085.1166666666668</v>
      </c>
      <c r="S37" s="4">
        <f>AVERAGE(O47:O49)</f>
        <v>1661.2166666666665</v>
      </c>
    </row>
    <row r="38" spans="1:19" x14ac:dyDescent="0.25">
      <c r="A38" t="s">
        <v>127</v>
      </c>
      <c r="B38">
        <v>377</v>
      </c>
      <c r="C38">
        <v>16</v>
      </c>
      <c r="D38">
        <v>12</v>
      </c>
      <c r="E38">
        <v>577</v>
      </c>
      <c r="F38">
        <v>0</v>
      </c>
      <c r="G38" s="21">
        <f t="shared" si="0"/>
        <v>0.58757637474541746</v>
      </c>
      <c r="L38">
        <v>6</v>
      </c>
      <c r="M38">
        <v>2307</v>
      </c>
      <c r="N38" s="4">
        <f>M38*0.89</f>
        <v>2053.23</v>
      </c>
      <c r="O38" s="4">
        <f t="shared" si="2"/>
        <v>253.76999999999998</v>
      </c>
      <c r="Q38">
        <v>36</v>
      </c>
      <c r="R38" s="4">
        <f>AVERAGE(N50:N52)</f>
        <v>3311.08</v>
      </c>
      <c r="S38" s="4">
        <f>AVERAGE(O50:O52)</f>
        <v>2300.92</v>
      </c>
    </row>
    <row r="39" spans="1:19" x14ac:dyDescent="0.25">
      <c r="L39">
        <v>6</v>
      </c>
      <c r="M39">
        <v>1342</v>
      </c>
      <c r="N39" s="4">
        <f t="shared" ref="N39:N40" si="3">M39*0.89</f>
        <v>1194.3800000000001</v>
      </c>
      <c r="O39" s="4">
        <f t="shared" si="2"/>
        <v>147.61999999999989</v>
      </c>
    </row>
    <row r="40" spans="1:19" x14ac:dyDescent="0.25">
      <c r="L40">
        <v>6</v>
      </c>
      <c r="M40">
        <v>1742</v>
      </c>
      <c r="N40" s="4">
        <f t="shared" si="3"/>
        <v>1550.38</v>
      </c>
      <c r="O40" s="4">
        <f t="shared" si="2"/>
        <v>191.61999999999989</v>
      </c>
    </row>
    <row r="41" spans="1:19" x14ac:dyDescent="0.25">
      <c r="L41">
        <v>12</v>
      </c>
      <c r="M41">
        <v>3597</v>
      </c>
      <c r="N41" s="4">
        <f>M41*0.82</f>
        <v>2949.54</v>
      </c>
      <c r="O41" s="4">
        <f t="shared" si="2"/>
        <v>647.46</v>
      </c>
    </row>
    <row r="42" spans="1:19" x14ac:dyDescent="0.25">
      <c r="L42">
        <v>12</v>
      </c>
      <c r="M42">
        <v>2276</v>
      </c>
      <c r="N42" s="4">
        <f t="shared" ref="N42:N43" si="4">M42*0.82</f>
        <v>1866.32</v>
      </c>
      <c r="O42" s="4">
        <f t="shared" si="2"/>
        <v>409.68000000000006</v>
      </c>
    </row>
    <row r="43" spans="1:19" x14ac:dyDescent="0.25">
      <c r="L43">
        <v>12</v>
      </c>
      <c r="M43">
        <v>2880</v>
      </c>
      <c r="N43" s="4">
        <f t="shared" si="4"/>
        <v>2361.6</v>
      </c>
      <c r="O43" s="4">
        <f t="shared" si="2"/>
        <v>518.40000000000009</v>
      </c>
    </row>
    <row r="44" spans="1:19" x14ac:dyDescent="0.25">
      <c r="L44">
        <v>16</v>
      </c>
      <c r="M44">
        <v>3488</v>
      </c>
      <c r="N44" s="4">
        <f>M44*0.76</f>
        <v>2650.88</v>
      </c>
      <c r="O44" s="4">
        <f t="shared" si="2"/>
        <v>837.11999999999989</v>
      </c>
    </row>
    <row r="45" spans="1:19" x14ac:dyDescent="0.25">
      <c r="L45">
        <v>16</v>
      </c>
      <c r="M45">
        <v>3845</v>
      </c>
      <c r="N45" s="4">
        <f t="shared" ref="N45:N46" si="5">M45*0.76</f>
        <v>2922.2</v>
      </c>
      <c r="O45" s="4">
        <f t="shared" si="2"/>
        <v>922.80000000000018</v>
      </c>
    </row>
    <row r="46" spans="1:19" x14ac:dyDescent="0.25">
      <c r="L46">
        <v>16</v>
      </c>
      <c r="M46">
        <v>4859</v>
      </c>
      <c r="N46" s="4">
        <f t="shared" si="5"/>
        <v>3692.84</v>
      </c>
      <c r="O46" s="4">
        <f t="shared" si="2"/>
        <v>1166.1599999999999</v>
      </c>
    </row>
    <row r="47" spans="1:19" x14ac:dyDescent="0.25">
      <c r="L47">
        <v>24</v>
      </c>
      <c r="M47">
        <v>4740</v>
      </c>
      <c r="N47" s="4">
        <f>M47*0.65</f>
        <v>3081</v>
      </c>
      <c r="O47" s="4">
        <f t="shared" si="2"/>
        <v>1659</v>
      </c>
    </row>
    <row r="48" spans="1:19" x14ac:dyDescent="0.25">
      <c r="L48">
        <v>24</v>
      </c>
      <c r="M48">
        <v>3819</v>
      </c>
      <c r="N48" s="4">
        <f t="shared" ref="N48:N49" si="6">M48*0.65</f>
        <v>2482.35</v>
      </c>
      <c r="O48" s="4">
        <f t="shared" si="2"/>
        <v>1336.65</v>
      </c>
    </row>
    <row r="49" spans="12:15" x14ac:dyDescent="0.25">
      <c r="L49">
        <v>24</v>
      </c>
      <c r="M49">
        <v>5680</v>
      </c>
      <c r="N49" s="4">
        <f t="shared" si="6"/>
        <v>3692</v>
      </c>
      <c r="O49" s="4">
        <f t="shared" si="2"/>
        <v>1988</v>
      </c>
    </row>
    <row r="50" spans="12:15" x14ac:dyDescent="0.25">
      <c r="L50">
        <v>36</v>
      </c>
      <c r="M50">
        <v>5489</v>
      </c>
      <c r="N50" s="4">
        <f>M50*0.59</f>
        <v>3238.5099999999998</v>
      </c>
      <c r="O50" s="4">
        <f t="shared" si="2"/>
        <v>2250.4900000000002</v>
      </c>
    </row>
    <row r="51" spans="12:15" x14ac:dyDescent="0.25">
      <c r="L51">
        <v>36</v>
      </c>
      <c r="M51">
        <v>4848</v>
      </c>
      <c r="N51" s="4">
        <f t="shared" ref="N51:N52" si="7">M51*0.59</f>
        <v>2860.3199999999997</v>
      </c>
      <c r="O51" s="4">
        <f t="shared" si="2"/>
        <v>1987.6800000000003</v>
      </c>
    </row>
    <row r="52" spans="12:15" x14ac:dyDescent="0.25">
      <c r="L52">
        <v>36</v>
      </c>
      <c r="M52">
        <v>6499</v>
      </c>
      <c r="N52" s="4">
        <f t="shared" si="7"/>
        <v>3834.41</v>
      </c>
      <c r="O52" s="4">
        <f t="shared" si="2"/>
        <v>2664.59</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I46"/>
  <sheetViews>
    <sheetView topLeftCell="B6" workbookViewId="0">
      <selection activeCell="D27" sqref="D27"/>
    </sheetView>
  </sheetViews>
  <sheetFormatPr defaultColWidth="11" defaultRowHeight="15.75" x14ac:dyDescent="0.25"/>
  <cols>
    <col min="2" max="2" width="22.625" customWidth="1"/>
    <col min="6" max="6" width="12.875" customWidth="1"/>
  </cols>
  <sheetData>
    <row r="1" spans="1:9" x14ac:dyDescent="0.25">
      <c r="C1" t="s">
        <v>102</v>
      </c>
      <c r="D1">
        <v>20</v>
      </c>
    </row>
    <row r="3" spans="1:9" x14ac:dyDescent="0.25">
      <c r="A3" t="s">
        <v>75</v>
      </c>
      <c r="B3" t="s">
        <v>129</v>
      </c>
      <c r="C3" t="s">
        <v>130</v>
      </c>
      <c r="D3" t="s">
        <v>131</v>
      </c>
      <c r="E3" t="s">
        <v>132</v>
      </c>
      <c r="F3" t="s">
        <v>133</v>
      </c>
      <c r="H3" t="s">
        <v>134</v>
      </c>
    </row>
    <row r="4" spans="1:9" x14ac:dyDescent="0.25">
      <c r="A4" t="s">
        <v>136</v>
      </c>
      <c r="B4">
        <v>0</v>
      </c>
      <c r="C4">
        <f>B4/10</f>
        <v>0</v>
      </c>
      <c r="D4" s="4">
        <f>(C4*391*1000)/(2220000*10.9)</f>
        <v>0</v>
      </c>
      <c r="E4" s="4"/>
    </row>
    <row r="5" spans="1:9" x14ac:dyDescent="0.25">
      <c r="A5" t="s">
        <v>137</v>
      </c>
      <c r="B5">
        <v>37</v>
      </c>
      <c r="C5">
        <f>B5/2000</f>
        <v>1.8499999999999999E-2</v>
      </c>
      <c r="D5" s="2">
        <f>(C5*391*1000)/(2220000*10.9)</f>
        <v>2.9892966360856266E-4</v>
      </c>
      <c r="E5" s="4">
        <f>D5*1000*1000</f>
        <v>298.92966360856263</v>
      </c>
    </row>
    <row r="6" spans="1:9" x14ac:dyDescent="0.25">
      <c r="A6" t="s">
        <v>138</v>
      </c>
      <c r="B6">
        <v>42</v>
      </c>
      <c r="C6">
        <f t="shared" ref="C6:C31" si="0">B6/2000</f>
        <v>2.1000000000000001E-2</v>
      </c>
      <c r="D6" s="2">
        <f t="shared" ref="D6:D31" si="1">(C6*391*1000)/(2220000*10.9)</f>
        <v>3.3932556409620629E-4</v>
      </c>
      <c r="E6" s="4">
        <f t="shared" ref="E6:E31" si="2">D6*1000*1000</f>
        <v>339.32556409620628</v>
      </c>
    </row>
    <row r="7" spans="1:9" x14ac:dyDescent="0.25">
      <c r="A7" t="s">
        <v>139</v>
      </c>
      <c r="B7">
        <v>40</v>
      </c>
      <c r="C7">
        <f t="shared" si="0"/>
        <v>0.02</v>
      </c>
      <c r="D7" s="2">
        <f t="shared" si="1"/>
        <v>3.2316720390114886E-4</v>
      </c>
      <c r="E7" s="4">
        <f t="shared" si="2"/>
        <v>323.16720390114881</v>
      </c>
    </row>
    <row r="8" spans="1:9" x14ac:dyDescent="0.25">
      <c r="A8" t="s">
        <v>181</v>
      </c>
      <c r="B8">
        <v>42</v>
      </c>
      <c r="C8">
        <f t="shared" si="0"/>
        <v>2.1000000000000001E-2</v>
      </c>
      <c r="D8" s="2">
        <f t="shared" si="1"/>
        <v>3.3932556409620629E-4</v>
      </c>
      <c r="E8" s="4">
        <f t="shared" si="2"/>
        <v>339.32556409620628</v>
      </c>
    </row>
    <row r="9" spans="1:9" x14ac:dyDescent="0.25">
      <c r="A9" t="s">
        <v>140</v>
      </c>
      <c r="B9">
        <v>43</v>
      </c>
      <c r="C9">
        <f t="shared" si="0"/>
        <v>2.1499999999999998E-2</v>
      </c>
      <c r="D9" s="2">
        <f t="shared" si="1"/>
        <v>3.4740474419373501E-4</v>
      </c>
      <c r="E9" s="4">
        <f t="shared" si="2"/>
        <v>347.40474419373504</v>
      </c>
    </row>
    <row r="10" spans="1:9" x14ac:dyDescent="0.25">
      <c r="A10" t="s">
        <v>141</v>
      </c>
      <c r="B10">
        <v>45</v>
      </c>
      <c r="C10">
        <f t="shared" si="0"/>
        <v>2.2499999999999999E-2</v>
      </c>
      <c r="D10" s="2">
        <f t="shared" si="1"/>
        <v>3.6356310438879244E-4</v>
      </c>
      <c r="E10" s="4">
        <f t="shared" si="2"/>
        <v>363.5631043887924</v>
      </c>
    </row>
    <row r="11" spans="1:9" x14ac:dyDescent="0.25">
      <c r="A11" t="s">
        <v>143</v>
      </c>
      <c r="B11">
        <v>35</v>
      </c>
      <c r="C11">
        <f t="shared" si="0"/>
        <v>1.7500000000000002E-2</v>
      </c>
      <c r="D11" s="2">
        <f t="shared" si="1"/>
        <v>2.8277130341350522E-4</v>
      </c>
      <c r="E11" s="4">
        <f t="shared" si="2"/>
        <v>282.77130341350522</v>
      </c>
      <c r="F11" s="4">
        <f>AVERAGE(E11:E13)</f>
        <v>288.15742347852438</v>
      </c>
      <c r="G11" s="20">
        <f>STDEV(E11:E13)/F11</f>
        <v>5.8364467274751392E-2</v>
      </c>
      <c r="H11" s="13">
        <f>E11/1000</f>
        <v>0.2827713034135052</v>
      </c>
      <c r="I11">
        <v>3</v>
      </c>
    </row>
    <row r="12" spans="1:9" x14ac:dyDescent="0.25">
      <c r="A12" t="s">
        <v>144</v>
      </c>
      <c r="B12">
        <v>34</v>
      </c>
      <c r="C12">
        <f t="shared" si="0"/>
        <v>1.7000000000000001E-2</v>
      </c>
      <c r="D12" s="2">
        <f t="shared" si="1"/>
        <v>2.7469212331597651E-4</v>
      </c>
      <c r="E12" s="4">
        <f t="shared" si="2"/>
        <v>274.69212331597652</v>
      </c>
      <c r="H12" s="13">
        <f t="shared" ref="H12:H28" si="3">E12/1000</f>
        <v>0.27469212331597653</v>
      </c>
      <c r="I12">
        <v>3</v>
      </c>
    </row>
    <row r="13" spans="1:9" x14ac:dyDescent="0.25">
      <c r="A13" t="s">
        <v>145</v>
      </c>
      <c r="B13">
        <v>38</v>
      </c>
      <c r="C13">
        <f t="shared" si="0"/>
        <v>1.9E-2</v>
      </c>
      <c r="D13" s="2">
        <f t="shared" si="1"/>
        <v>3.0700884370609137E-4</v>
      </c>
      <c r="E13" s="4">
        <f t="shared" si="2"/>
        <v>307.0088437060914</v>
      </c>
      <c r="H13" s="13">
        <f t="shared" si="3"/>
        <v>0.30700884370609138</v>
      </c>
      <c r="I13">
        <v>3</v>
      </c>
    </row>
    <row r="14" spans="1:9" x14ac:dyDescent="0.25">
      <c r="A14" t="s">
        <v>146</v>
      </c>
      <c r="B14">
        <v>45</v>
      </c>
      <c r="C14">
        <f t="shared" si="0"/>
        <v>2.2499999999999999E-2</v>
      </c>
      <c r="D14" s="2">
        <f t="shared" si="1"/>
        <v>3.6356310438879244E-4</v>
      </c>
      <c r="E14" s="4">
        <f t="shared" si="2"/>
        <v>363.5631043887924</v>
      </c>
      <c r="F14" s="4">
        <f>AVERAGE(E14:E16)</f>
        <v>298.92966360856263</v>
      </c>
      <c r="G14" s="20">
        <f>STDEV(E14:E16)/F14</f>
        <v>0.19489466353859386</v>
      </c>
      <c r="H14" s="13">
        <f t="shared" si="3"/>
        <v>0.36356310438879241</v>
      </c>
      <c r="I14">
        <v>6</v>
      </c>
    </row>
    <row r="15" spans="1:9" x14ac:dyDescent="0.25">
      <c r="A15" t="s">
        <v>147</v>
      </c>
      <c r="B15">
        <v>31</v>
      </c>
      <c r="C15">
        <f t="shared" si="0"/>
        <v>1.55E-2</v>
      </c>
      <c r="D15" s="2">
        <f t="shared" si="1"/>
        <v>2.5045458302339036E-4</v>
      </c>
      <c r="E15" s="4">
        <f t="shared" si="2"/>
        <v>250.45458302339034</v>
      </c>
      <c r="H15" s="13">
        <f t="shared" si="3"/>
        <v>0.25045458302339035</v>
      </c>
      <c r="I15">
        <v>6</v>
      </c>
    </row>
    <row r="16" spans="1:9" x14ac:dyDescent="0.25">
      <c r="A16" t="s">
        <v>148</v>
      </c>
      <c r="B16">
        <v>35</v>
      </c>
      <c r="C16">
        <f t="shared" si="0"/>
        <v>1.7500000000000002E-2</v>
      </c>
      <c r="D16" s="2">
        <f t="shared" si="1"/>
        <v>2.8277130341350522E-4</v>
      </c>
      <c r="E16" s="4">
        <f t="shared" si="2"/>
        <v>282.77130341350522</v>
      </c>
      <c r="H16" s="13">
        <f t="shared" si="3"/>
        <v>0.2827713034135052</v>
      </c>
      <c r="I16">
        <v>6</v>
      </c>
    </row>
    <row r="17" spans="1:9" x14ac:dyDescent="0.25">
      <c r="A17" t="s">
        <v>149</v>
      </c>
      <c r="B17">
        <v>37</v>
      </c>
      <c r="C17">
        <f t="shared" si="0"/>
        <v>1.8499999999999999E-2</v>
      </c>
      <c r="D17" s="2">
        <f t="shared" si="1"/>
        <v>2.9892966360856266E-4</v>
      </c>
      <c r="E17" s="4">
        <f t="shared" si="2"/>
        <v>298.92966360856263</v>
      </c>
      <c r="F17" s="4">
        <f>AVERAGE(E17:E19)</f>
        <v>304.31578367358185</v>
      </c>
      <c r="G17" s="20">
        <f>STDEV(E17:E19)/F17</f>
        <v>0.13362538823488032</v>
      </c>
      <c r="H17" s="13">
        <f t="shared" si="3"/>
        <v>0.29892966360856266</v>
      </c>
      <c r="I17">
        <v>12</v>
      </c>
    </row>
    <row r="18" spans="1:9" x14ac:dyDescent="0.25">
      <c r="A18" t="s">
        <v>150</v>
      </c>
      <c r="B18">
        <v>33</v>
      </c>
      <c r="C18">
        <f t="shared" si="0"/>
        <v>1.6500000000000001E-2</v>
      </c>
      <c r="D18" s="2">
        <f t="shared" si="1"/>
        <v>2.6661294321844779E-4</v>
      </c>
      <c r="E18" s="4">
        <f t="shared" si="2"/>
        <v>266.61294321844781</v>
      </c>
      <c r="H18" s="13">
        <f t="shared" si="3"/>
        <v>0.26661294321844781</v>
      </c>
      <c r="I18">
        <v>12</v>
      </c>
    </row>
    <row r="19" spans="1:9" x14ac:dyDescent="0.25">
      <c r="A19" t="s">
        <v>151</v>
      </c>
      <c r="B19">
        <v>43</v>
      </c>
      <c r="C19">
        <f t="shared" si="0"/>
        <v>2.1499999999999998E-2</v>
      </c>
      <c r="D19" s="2">
        <f t="shared" si="1"/>
        <v>3.4740474419373501E-4</v>
      </c>
      <c r="E19" s="4">
        <f t="shared" si="2"/>
        <v>347.40474419373504</v>
      </c>
      <c r="H19" s="13">
        <f t="shared" si="3"/>
        <v>0.34740474419373502</v>
      </c>
      <c r="I19">
        <v>12</v>
      </c>
    </row>
    <row r="20" spans="1:9" x14ac:dyDescent="0.25">
      <c r="A20" t="s">
        <v>182</v>
      </c>
      <c r="B20">
        <v>38</v>
      </c>
      <c r="C20">
        <f t="shared" si="0"/>
        <v>1.9E-2</v>
      </c>
      <c r="D20" s="2">
        <f t="shared" si="1"/>
        <v>3.0700884370609137E-4</v>
      </c>
      <c r="E20" s="4">
        <f t="shared" si="2"/>
        <v>307.0088437060914</v>
      </c>
      <c r="F20" s="4">
        <f>AVERAGE(E20:E22)</f>
        <v>312.39496377111055</v>
      </c>
      <c r="G20" s="20">
        <f>STDEV(E20:E22)/F20</f>
        <v>0.18164920263539255</v>
      </c>
      <c r="H20" s="13">
        <f t="shared" si="3"/>
        <v>0.30700884370609138</v>
      </c>
      <c r="I20">
        <v>16</v>
      </c>
    </row>
    <row r="21" spans="1:9" x14ac:dyDescent="0.25">
      <c r="A21" t="s">
        <v>183</v>
      </c>
      <c r="B21">
        <v>32</v>
      </c>
      <c r="C21">
        <f t="shared" si="0"/>
        <v>1.6E-2</v>
      </c>
      <c r="D21" s="2">
        <f t="shared" si="1"/>
        <v>2.5853376312091908E-4</v>
      </c>
      <c r="E21" s="4">
        <f t="shared" si="2"/>
        <v>258.5337631209191</v>
      </c>
      <c r="H21" s="13">
        <f t="shared" si="3"/>
        <v>0.25853376312091908</v>
      </c>
      <c r="I21">
        <v>16</v>
      </c>
    </row>
    <row r="22" spans="1:9" x14ac:dyDescent="0.25">
      <c r="A22" t="s">
        <v>184</v>
      </c>
      <c r="B22">
        <v>46</v>
      </c>
      <c r="C22">
        <f t="shared" si="0"/>
        <v>2.3E-2</v>
      </c>
      <c r="D22" s="2">
        <f t="shared" si="1"/>
        <v>3.7164228448632121E-4</v>
      </c>
      <c r="E22" s="4">
        <f t="shared" si="2"/>
        <v>371.64228448632122</v>
      </c>
      <c r="H22" s="13">
        <f t="shared" si="3"/>
        <v>0.37164228448632119</v>
      </c>
      <c r="I22">
        <v>16</v>
      </c>
    </row>
    <row r="23" spans="1:9" x14ac:dyDescent="0.25">
      <c r="A23" t="s">
        <v>152</v>
      </c>
      <c r="B23">
        <v>35</v>
      </c>
      <c r="C23">
        <f t="shared" si="0"/>
        <v>1.7500000000000002E-2</v>
      </c>
      <c r="D23" s="2">
        <f t="shared" si="1"/>
        <v>2.8277130341350522E-4</v>
      </c>
      <c r="E23" s="4">
        <f t="shared" si="2"/>
        <v>282.77130341350522</v>
      </c>
      <c r="F23" s="4">
        <f>AVERAGE(E23:E25)</f>
        <v>277.38518334848601</v>
      </c>
      <c r="G23" s="20">
        <f>STDEV(E23:E25)/F23</f>
        <v>8.8982052329239586E-2</v>
      </c>
      <c r="H23" s="13">
        <f t="shared" si="3"/>
        <v>0.2827713034135052</v>
      </c>
      <c r="I23">
        <v>24</v>
      </c>
    </row>
    <row r="24" spans="1:9" x14ac:dyDescent="0.25">
      <c r="A24" t="s">
        <v>153</v>
      </c>
      <c r="B24">
        <v>31</v>
      </c>
      <c r="C24">
        <f t="shared" si="0"/>
        <v>1.55E-2</v>
      </c>
      <c r="D24" s="2">
        <f t="shared" si="1"/>
        <v>2.5045458302339036E-4</v>
      </c>
      <c r="E24" s="4">
        <f t="shared" si="2"/>
        <v>250.45458302339034</v>
      </c>
      <c r="H24" s="13">
        <f t="shared" si="3"/>
        <v>0.25045458302339035</v>
      </c>
      <c r="I24">
        <v>24</v>
      </c>
    </row>
    <row r="25" spans="1:9" x14ac:dyDescent="0.25">
      <c r="A25" t="s">
        <v>154</v>
      </c>
      <c r="B25">
        <v>37</v>
      </c>
      <c r="C25">
        <f t="shared" si="0"/>
        <v>1.8499999999999999E-2</v>
      </c>
      <c r="D25" s="2">
        <f t="shared" si="1"/>
        <v>2.9892966360856266E-4</v>
      </c>
      <c r="E25" s="4">
        <f t="shared" si="2"/>
        <v>298.92966360856263</v>
      </c>
      <c r="H25" s="13">
        <f t="shared" si="3"/>
        <v>0.29892966360856266</v>
      </c>
      <c r="I25">
        <v>24</v>
      </c>
    </row>
    <row r="26" spans="1:9" x14ac:dyDescent="0.25">
      <c r="A26" t="s">
        <v>155</v>
      </c>
      <c r="B26">
        <v>40</v>
      </c>
      <c r="C26">
        <f t="shared" si="0"/>
        <v>0.02</v>
      </c>
      <c r="D26" s="2">
        <f t="shared" si="1"/>
        <v>3.2316720390114886E-4</v>
      </c>
      <c r="E26" s="4">
        <f t="shared" si="2"/>
        <v>323.16720390114881</v>
      </c>
      <c r="F26" s="4">
        <f>AVERAGE(E26:E28)</f>
        <v>296.23660357605308</v>
      </c>
      <c r="G26" s="20">
        <f>STDEV(E26:E28)/F26</f>
        <v>9.5778670480479347E-2</v>
      </c>
      <c r="H26" s="13">
        <f t="shared" si="3"/>
        <v>0.32316720390114884</v>
      </c>
      <c r="I26">
        <v>36</v>
      </c>
    </row>
    <row r="27" spans="1:9" x14ac:dyDescent="0.25">
      <c r="A27" t="s">
        <v>156</v>
      </c>
      <c r="B27">
        <v>33</v>
      </c>
      <c r="C27">
        <f t="shared" si="0"/>
        <v>1.6500000000000001E-2</v>
      </c>
      <c r="D27" s="2">
        <f t="shared" si="1"/>
        <v>2.6661294321844779E-4</v>
      </c>
      <c r="E27" s="4">
        <f t="shared" si="2"/>
        <v>266.61294321844781</v>
      </c>
      <c r="H27" s="13">
        <f t="shared" si="3"/>
        <v>0.26661294321844781</v>
      </c>
      <c r="I27">
        <v>36</v>
      </c>
    </row>
    <row r="28" spans="1:9" x14ac:dyDescent="0.25">
      <c r="A28" t="s">
        <v>157</v>
      </c>
      <c r="B28">
        <v>37</v>
      </c>
      <c r="C28">
        <f t="shared" si="0"/>
        <v>1.8499999999999999E-2</v>
      </c>
      <c r="D28" s="2">
        <f t="shared" si="1"/>
        <v>2.9892966360856266E-4</v>
      </c>
      <c r="E28" s="4">
        <f t="shared" si="2"/>
        <v>298.92966360856263</v>
      </c>
      <c r="H28" s="13">
        <f t="shared" si="3"/>
        <v>0.29892966360856266</v>
      </c>
      <c r="I28">
        <v>36</v>
      </c>
    </row>
    <row r="29" spans="1:9" x14ac:dyDescent="0.25">
      <c r="A29" t="s">
        <v>99</v>
      </c>
      <c r="B29">
        <v>0</v>
      </c>
      <c r="C29">
        <f t="shared" si="0"/>
        <v>0</v>
      </c>
      <c r="D29" s="2">
        <f t="shared" si="1"/>
        <v>0</v>
      </c>
      <c r="E29" s="4">
        <f t="shared" si="2"/>
        <v>0</v>
      </c>
      <c r="F29" s="4">
        <f>AVERAGE(E29:E31)</f>
        <v>0</v>
      </c>
    </row>
    <row r="30" spans="1:9" x14ac:dyDescent="0.25">
      <c r="A30" t="s">
        <v>100</v>
      </c>
      <c r="B30">
        <v>0</v>
      </c>
      <c r="C30">
        <f t="shared" si="0"/>
        <v>0</v>
      </c>
      <c r="D30" s="2">
        <f t="shared" si="1"/>
        <v>0</v>
      </c>
      <c r="E30" s="4">
        <f t="shared" si="2"/>
        <v>0</v>
      </c>
    </row>
    <row r="31" spans="1:9" x14ac:dyDescent="0.25">
      <c r="A31" t="s">
        <v>101</v>
      </c>
      <c r="B31">
        <v>0</v>
      </c>
      <c r="C31">
        <f t="shared" si="0"/>
        <v>0</v>
      </c>
      <c r="D31" s="2">
        <f t="shared" si="1"/>
        <v>0</v>
      </c>
      <c r="E31" s="4">
        <f t="shared" si="2"/>
        <v>0</v>
      </c>
    </row>
    <row r="32" spans="1:9" x14ac:dyDescent="0.25">
      <c r="D32" s="2"/>
      <c r="E32" s="4"/>
    </row>
    <row r="33" spans="1:5" x14ac:dyDescent="0.25">
      <c r="D33" s="2"/>
      <c r="E33" s="4"/>
    </row>
    <row r="34" spans="1:5" x14ac:dyDescent="0.25">
      <c r="A34" s="14" t="s">
        <v>164</v>
      </c>
      <c r="B34" s="14">
        <f t="array" ref="B34:C38">LINEST(E11:E28,I11:I28,TRUE,TRUE)</f>
        <v>-0.14025729971227283</v>
      </c>
      <c r="C34" s="15">
        <v>298.50409658806819</v>
      </c>
      <c r="D34" s="16" t="s">
        <v>165</v>
      </c>
      <c r="E34" s="17"/>
    </row>
    <row r="35" spans="1:5" x14ac:dyDescent="0.25">
      <c r="A35" s="14" t="s">
        <v>166</v>
      </c>
      <c r="B35" s="14">
        <v>0.7849838133135516</v>
      </c>
      <c r="C35" s="15">
        <v>15.425814097693776</v>
      </c>
      <c r="D35" s="16" t="s">
        <v>166</v>
      </c>
      <c r="E35" s="17"/>
    </row>
    <row r="36" spans="1:5" x14ac:dyDescent="0.25">
      <c r="A36" s="14" t="s">
        <v>167</v>
      </c>
      <c r="B36" s="14">
        <v>1.9913329231094662E-3</v>
      </c>
      <c r="C36" s="15">
        <v>37.206079779581259</v>
      </c>
      <c r="D36" s="16" t="s">
        <v>168</v>
      </c>
      <c r="E36" s="17"/>
    </row>
    <row r="37" spans="1:5" x14ac:dyDescent="0.25">
      <c r="A37" s="14" t="s">
        <v>169</v>
      </c>
      <c r="B37" s="14">
        <v>3.1924899873937408E-2</v>
      </c>
      <c r="C37" s="15">
        <v>16</v>
      </c>
      <c r="D37" s="16" t="s">
        <v>170</v>
      </c>
      <c r="E37" s="17"/>
    </row>
    <row r="38" spans="1:5" x14ac:dyDescent="0.25">
      <c r="A38" s="14" t="s">
        <v>171</v>
      </c>
      <c r="B38" s="14">
        <v>44.19339539037901</v>
      </c>
      <c r="C38" s="15">
        <v>22148.677961033049</v>
      </c>
      <c r="D38" s="16" t="s">
        <v>172</v>
      </c>
      <c r="E38" s="17"/>
    </row>
    <row r="39" spans="1:5" x14ac:dyDescent="0.25">
      <c r="D39" s="2"/>
      <c r="E39" s="4"/>
    </row>
    <row r="40" spans="1:5" x14ac:dyDescent="0.25">
      <c r="D40" s="2"/>
      <c r="E40" s="4"/>
    </row>
    <row r="41" spans="1:5" x14ac:dyDescent="0.25">
      <c r="A41" s="14" t="s">
        <v>173</v>
      </c>
      <c r="B41" s="14">
        <f>B34/B35</f>
        <v>-0.17867540366243051</v>
      </c>
      <c r="D41" s="2"/>
      <c r="E41" s="4"/>
    </row>
    <row r="42" spans="1:5" x14ac:dyDescent="0.25">
      <c r="A42" s="14" t="s">
        <v>174</v>
      </c>
      <c r="B42" s="14">
        <f>TDIST(ABS(B41),C37,2)</f>
        <v>0.86043543763177077</v>
      </c>
      <c r="C42" t="s">
        <v>175</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27"/>
  <sheetViews>
    <sheetView topLeftCell="A2" workbookViewId="0">
      <selection activeCell="G10" sqref="G10"/>
    </sheetView>
  </sheetViews>
  <sheetFormatPr defaultColWidth="11" defaultRowHeight="15.75" x14ac:dyDescent="0.25"/>
  <cols>
    <col min="2" max="2" width="24.125" customWidth="1"/>
    <col min="3" max="3" width="27.875" customWidth="1"/>
    <col min="4" max="4" width="17.5" customWidth="1"/>
    <col min="5" max="5" width="7.875" customWidth="1"/>
    <col min="6" max="6" width="21.5" customWidth="1"/>
  </cols>
  <sheetData>
    <row r="1" spans="1:7" x14ac:dyDescent="0.25">
      <c r="A1" s="1" t="s">
        <v>189</v>
      </c>
    </row>
    <row r="3" spans="1:7" x14ac:dyDescent="0.25">
      <c r="A3" t="s">
        <v>75</v>
      </c>
      <c r="B3" t="s">
        <v>76</v>
      </c>
      <c r="C3" t="s">
        <v>77</v>
      </c>
      <c r="D3" t="s">
        <v>78</v>
      </c>
      <c r="E3" t="s">
        <v>79</v>
      </c>
      <c r="F3" t="s">
        <v>80</v>
      </c>
    </row>
    <row r="4" spans="1:7" x14ac:dyDescent="0.25">
      <c r="A4" t="s">
        <v>81</v>
      </c>
      <c r="B4">
        <v>5.8630000000000002E-2</v>
      </c>
      <c r="C4">
        <v>6.0080000000000001E-2</v>
      </c>
      <c r="D4">
        <f>C4-B4</f>
        <v>1.4499999999999999E-3</v>
      </c>
      <c r="E4">
        <v>15</v>
      </c>
      <c r="F4" s="2">
        <f>D4/E4</f>
        <v>9.6666666666666654E-5</v>
      </c>
      <c r="G4" s="3"/>
    </row>
    <row r="5" spans="1:7" x14ac:dyDescent="0.25">
      <c r="A5" t="s">
        <v>82</v>
      </c>
      <c r="B5">
        <v>6.5490000000000007E-2</v>
      </c>
      <c r="C5">
        <v>6.6919999999999993E-2</v>
      </c>
      <c r="D5">
        <f t="shared" ref="D5:D24" si="0">C5-B5</f>
        <v>1.4299999999999868E-3</v>
      </c>
      <c r="E5">
        <v>15</v>
      </c>
      <c r="F5" s="2">
        <f t="shared" ref="F5:F24" si="1">D5/E5</f>
        <v>9.5333333333332457E-5</v>
      </c>
    </row>
    <row r="6" spans="1:7" x14ac:dyDescent="0.25">
      <c r="A6" t="s">
        <v>83</v>
      </c>
      <c r="B6">
        <v>7.2950000000000001E-2</v>
      </c>
      <c r="C6">
        <v>7.4749999999999997E-2</v>
      </c>
      <c r="D6">
        <f t="shared" si="0"/>
        <v>1.799999999999996E-3</v>
      </c>
      <c r="E6">
        <v>16</v>
      </c>
      <c r="F6" s="2">
        <f t="shared" si="1"/>
        <v>1.1249999999999975E-4</v>
      </c>
    </row>
    <row r="7" spans="1:7" x14ac:dyDescent="0.25">
      <c r="A7" t="s">
        <v>84</v>
      </c>
      <c r="B7">
        <v>6.5360000000000001E-2</v>
      </c>
      <c r="C7">
        <v>6.6820000000000004E-2</v>
      </c>
      <c r="D7">
        <f t="shared" si="0"/>
        <v>1.460000000000003E-3</v>
      </c>
      <c r="E7">
        <v>15</v>
      </c>
      <c r="F7" s="2">
        <f t="shared" si="1"/>
        <v>9.7333333333333535E-5</v>
      </c>
    </row>
    <row r="8" spans="1:7" x14ac:dyDescent="0.25">
      <c r="A8" t="s">
        <v>85</v>
      </c>
      <c r="B8">
        <v>6.8970000000000004E-2</v>
      </c>
      <c r="C8">
        <v>7.0499999999999993E-2</v>
      </c>
      <c r="D8">
        <f t="shared" si="0"/>
        <v>1.5299999999999897E-3</v>
      </c>
      <c r="E8">
        <v>15</v>
      </c>
      <c r="F8" s="2">
        <f t="shared" si="1"/>
        <v>1.0199999999999931E-4</v>
      </c>
    </row>
    <row r="9" spans="1:7" x14ac:dyDescent="0.25">
      <c r="A9" t="s">
        <v>86</v>
      </c>
      <c r="B9">
        <v>6.4610000000000001E-2</v>
      </c>
      <c r="C9">
        <v>6.6350000000000006E-2</v>
      </c>
      <c r="D9">
        <f t="shared" si="0"/>
        <v>1.7400000000000054E-3</v>
      </c>
      <c r="E9">
        <v>15</v>
      </c>
      <c r="F9" s="2">
        <f t="shared" si="1"/>
        <v>1.1600000000000037E-4</v>
      </c>
    </row>
    <row r="10" spans="1:7" x14ac:dyDescent="0.25">
      <c r="A10" t="s">
        <v>87</v>
      </c>
      <c r="B10">
        <v>6.2950000000000006E-2</v>
      </c>
      <c r="C10">
        <v>6.4630000000000007E-2</v>
      </c>
      <c r="D10">
        <f t="shared" si="0"/>
        <v>1.6800000000000009E-3</v>
      </c>
      <c r="E10">
        <v>15</v>
      </c>
      <c r="F10" s="2">
        <f t="shared" si="1"/>
        <v>1.1200000000000007E-4</v>
      </c>
    </row>
    <row r="11" spans="1:7" x14ac:dyDescent="0.25">
      <c r="A11" t="s">
        <v>88</v>
      </c>
      <c r="B11">
        <v>7.5259999999999994E-2</v>
      </c>
      <c r="C11">
        <v>7.7200000000000005E-2</v>
      </c>
      <c r="D11">
        <f t="shared" si="0"/>
        <v>1.9400000000000112E-3</v>
      </c>
      <c r="E11">
        <v>15</v>
      </c>
      <c r="F11" s="2">
        <f t="shared" si="1"/>
        <v>1.2933333333333408E-4</v>
      </c>
    </row>
    <row r="12" spans="1:7" x14ac:dyDescent="0.25">
      <c r="A12" t="s">
        <v>89</v>
      </c>
      <c r="B12">
        <v>7.1309999999999998E-2</v>
      </c>
      <c r="C12">
        <v>7.3069999999999996E-2</v>
      </c>
      <c r="D12">
        <f t="shared" si="0"/>
        <v>1.7599999999999977E-3</v>
      </c>
      <c r="E12">
        <v>16</v>
      </c>
      <c r="F12" s="2">
        <f>D12/E12</f>
        <v>1.0999999999999985E-4</v>
      </c>
    </row>
    <row r="13" spans="1:7" x14ac:dyDescent="0.25">
      <c r="A13" t="s">
        <v>177</v>
      </c>
      <c r="B13">
        <v>7.3959999999999998E-2</v>
      </c>
      <c r="C13">
        <v>7.603E-2</v>
      </c>
      <c r="D13">
        <f t="shared" si="0"/>
        <v>2.0700000000000024E-3</v>
      </c>
      <c r="E13">
        <v>16</v>
      </c>
      <c r="F13" s="2">
        <f t="shared" si="1"/>
        <v>1.2937500000000015E-4</v>
      </c>
    </row>
    <row r="14" spans="1:7" x14ac:dyDescent="0.25">
      <c r="A14" t="s">
        <v>178</v>
      </c>
      <c r="B14">
        <v>6.6900000000000001E-2</v>
      </c>
      <c r="C14">
        <v>6.8849999999999995E-2</v>
      </c>
      <c r="D14">
        <f t="shared" si="0"/>
        <v>1.9499999999999934E-3</v>
      </c>
      <c r="E14">
        <v>15</v>
      </c>
      <c r="F14" s="2">
        <f t="shared" si="1"/>
        <v>1.2999999999999955E-4</v>
      </c>
    </row>
    <row r="15" spans="1:7" x14ac:dyDescent="0.25">
      <c r="A15" t="s">
        <v>179</v>
      </c>
      <c r="B15">
        <v>5.892E-2</v>
      </c>
      <c r="C15">
        <v>6.0679999999999998E-2</v>
      </c>
      <c r="D15">
        <f t="shared" si="0"/>
        <v>1.7599999999999977E-3</v>
      </c>
      <c r="E15">
        <v>15</v>
      </c>
      <c r="F15" s="2">
        <f t="shared" si="1"/>
        <v>1.1733333333333318E-4</v>
      </c>
    </row>
    <row r="16" spans="1:7" x14ac:dyDescent="0.25">
      <c r="A16" t="s">
        <v>90</v>
      </c>
      <c r="B16">
        <v>5.9499999999999997E-2</v>
      </c>
      <c r="C16">
        <v>6.1100000000000002E-2</v>
      </c>
      <c r="D16">
        <f t="shared" si="0"/>
        <v>1.6000000000000042E-3</v>
      </c>
      <c r="E16">
        <v>14</v>
      </c>
      <c r="F16" s="2">
        <f t="shared" si="1"/>
        <v>1.1428571428571458E-4</v>
      </c>
    </row>
    <row r="17" spans="1:6" x14ac:dyDescent="0.25">
      <c r="A17" t="s">
        <v>91</v>
      </c>
      <c r="B17">
        <v>5.7770000000000002E-2</v>
      </c>
      <c r="C17">
        <v>5.9479999999999998E-2</v>
      </c>
      <c r="D17">
        <f t="shared" si="0"/>
        <v>1.7099999999999962E-3</v>
      </c>
      <c r="E17">
        <v>15</v>
      </c>
      <c r="F17" s="2">
        <f t="shared" si="1"/>
        <v>1.1399999999999975E-4</v>
      </c>
    </row>
    <row r="18" spans="1:6" x14ac:dyDescent="0.25">
      <c r="A18" t="s">
        <v>92</v>
      </c>
      <c r="B18">
        <v>6.7199999999999996E-2</v>
      </c>
      <c r="C18">
        <v>6.9220000000000004E-2</v>
      </c>
      <c r="D18">
        <f t="shared" si="0"/>
        <v>2.0200000000000079E-3</v>
      </c>
      <c r="E18">
        <v>15</v>
      </c>
      <c r="F18" s="2">
        <f t="shared" si="1"/>
        <v>1.3466666666666718E-4</v>
      </c>
    </row>
    <row r="19" spans="1:6" x14ac:dyDescent="0.25">
      <c r="A19" t="s">
        <v>93</v>
      </c>
      <c r="B19">
        <v>5.9630000000000002E-2</v>
      </c>
      <c r="C19">
        <v>6.1120000000000001E-2</v>
      </c>
      <c r="D19">
        <f t="shared" si="0"/>
        <v>1.4899999999999983E-3</v>
      </c>
      <c r="E19">
        <v>14</v>
      </c>
      <c r="F19" s="2">
        <f t="shared" si="1"/>
        <v>1.0642857142857131E-4</v>
      </c>
    </row>
    <row r="20" spans="1:6" x14ac:dyDescent="0.25">
      <c r="A20" t="s">
        <v>94</v>
      </c>
      <c r="B20">
        <v>6.0380000000000003E-2</v>
      </c>
      <c r="C20">
        <v>6.1990000000000003E-2</v>
      </c>
      <c r="D20">
        <f t="shared" si="0"/>
        <v>1.6100000000000003E-3</v>
      </c>
      <c r="E20">
        <v>15</v>
      </c>
      <c r="F20" s="2">
        <f t="shared" si="1"/>
        <v>1.0733333333333336E-4</v>
      </c>
    </row>
    <row r="21" spans="1:6" x14ac:dyDescent="0.25">
      <c r="A21" t="s">
        <v>95</v>
      </c>
      <c r="B21">
        <v>6.4360000000000001E-2</v>
      </c>
      <c r="C21">
        <v>6.5809999999999994E-2</v>
      </c>
      <c r="D21">
        <f t="shared" si="0"/>
        <v>1.449999999999993E-3</v>
      </c>
      <c r="E21">
        <v>15</v>
      </c>
      <c r="F21" s="2">
        <f t="shared" si="1"/>
        <v>9.6666666666666193E-5</v>
      </c>
    </row>
    <row r="22" spans="1:6" x14ac:dyDescent="0.25">
      <c r="A22" t="s">
        <v>99</v>
      </c>
      <c r="B22">
        <v>6.3850000000000004E-2</v>
      </c>
      <c r="C22">
        <v>6.5170000000000006E-2</v>
      </c>
      <c r="D22">
        <f t="shared" si="0"/>
        <v>1.3200000000000017E-3</v>
      </c>
      <c r="E22">
        <v>15</v>
      </c>
      <c r="F22" s="2">
        <f t="shared" si="1"/>
        <v>8.800000000000012E-5</v>
      </c>
    </row>
    <row r="23" spans="1:6" x14ac:dyDescent="0.25">
      <c r="A23" t="s">
        <v>100</v>
      </c>
      <c r="B23">
        <v>6.7589999999999997E-2</v>
      </c>
      <c r="C23">
        <v>6.8750000000000006E-2</v>
      </c>
      <c r="D23">
        <f t="shared" si="0"/>
        <v>1.1600000000000082E-3</v>
      </c>
      <c r="E23">
        <v>14</v>
      </c>
      <c r="F23" s="2">
        <f t="shared" si="1"/>
        <v>8.2857142857143442E-5</v>
      </c>
    </row>
    <row r="24" spans="1:6" x14ac:dyDescent="0.25">
      <c r="A24" t="s">
        <v>101</v>
      </c>
      <c r="B24">
        <v>5.9549999999999999E-2</v>
      </c>
      <c r="C24">
        <v>6.1039999999999997E-2</v>
      </c>
      <c r="D24">
        <f t="shared" si="0"/>
        <v>1.4899999999999983E-3</v>
      </c>
      <c r="E24">
        <v>15</v>
      </c>
      <c r="F24" s="2">
        <f t="shared" si="1"/>
        <v>9.9333333333333218E-5</v>
      </c>
    </row>
    <row r="25" spans="1:6" x14ac:dyDescent="0.25">
      <c r="F25" s="2"/>
    </row>
    <row r="26" spans="1:6" x14ac:dyDescent="0.25">
      <c r="F26" s="2"/>
    </row>
    <row r="27" spans="1:6" x14ac:dyDescent="0.25">
      <c r="F27" s="2"/>
    </row>
  </sheetData>
  <dataConsolid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O52"/>
  <sheetViews>
    <sheetView workbookViewId="0">
      <selection activeCell="C6" sqref="C6"/>
    </sheetView>
  </sheetViews>
  <sheetFormatPr defaultColWidth="11" defaultRowHeight="15.75" x14ac:dyDescent="0.25"/>
  <cols>
    <col min="1" max="1" width="13" customWidth="1"/>
    <col min="2" max="2" width="23.625" customWidth="1"/>
    <col min="3" max="3" width="9.5" customWidth="1"/>
    <col min="4" max="4" width="9.625" customWidth="1"/>
    <col min="5" max="5" width="15.375" customWidth="1"/>
    <col min="10" max="10" width="15.375" customWidth="1"/>
  </cols>
  <sheetData>
    <row r="1" spans="1:10" x14ac:dyDescent="0.25">
      <c r="D1" t="s">
        <v>102</v>
      </c>
      <c r="E1">
        <v>20</v>
      </c>
    </row>
    <row r="3" spans="1:10" x14ac:dyDescent="0.25">
      <c r="A3" t="s">
        <v>75</v>
      </c>
      <c r="B3" t="s">
        <v>103</v>
      </c>
      <c r="C3" t="s">
        <v>104</v>
      </c>
      <c r="D3" t="s">
        <v>105</v>
      </c>
      <c r="E3" t="s">
        <v>106</v>
      </c>
    </row>
    <row r="4" spans="1:10" x14ac:dyDescent="0.25">
      <c r="A4" t="s">
        <v>108</v>
      </c>
      <c r="B4">
        <v>5</v>
      </c>
      <c r="D4">
        <v>0</v>
      </c>
      <c r="E4">
        <v>0</v>
      </c>
      <c r="G4">
        <v>0</v>
      </c>
    </row>
    <row r="5" spans="1:10" x14ac:dyDescent="0.25">
      <c r="A5" t="s">
        <v>109</v>
      </c>
      <c r="B5">
        <v>0</v>
      </c>
      <c r="D5">
        <v>0</v>
      </c>
      <c r="E5">
        <v>0</v>
      </c>
      <c r="G5">
        <v>0</v>
      </c>
    </row>
    <row r="6" spans="1:10" x14ac:dyDescent="0.25">
      <c r="A6" t="s">
        <v>81</v>
      </c>
      <c r="B6">
        <v>286</v>
      </c>
      <c r="C6" s="4">
        <f>(B6*391)/(2220000*10.9)*1000/'Mosher Masses 0.2 23'!D4</f>
        <v>3187.0972522665033</v>
      </c>
      <c r="D6" s="5">
        <f>(B6*391)/(2220000*10.9)*1000/'Mosher Masses 0.2 23'!E4</f>
        <v>0.3080860677190953</v>
      </c>
      <c r="E6" s="4">
        <f>AVERAGE(C6:C8)</f>
        <v>2665.102659302815</v>
      </c>
      <c r="F6" s="6">
        <f>STDEV(C6:C8)/E6</f>
        <v>0.29097198230664251</v>
      </c>
      <c r="G6">
        <v>3</v>
      </c>
      <c r="I6" t="s">
        <v>110</v>
      </c>
      <c r="J6" t="s">
        <v>106</v>
      </c>
    </row>
    <row r="7" spans="1:10" x14ac:dyDescent="0.25">
      <c r="A7" t="s">
        <v>82</v>
      </c>
      <c r="B7">
        <v>157</v>
      </c>
      <c r="C7" s="4">
        <f>(B7*391)/(2220000*10.9)*1000/'Mosher Masses 0.2 23'!D5</f>
        <v>1774.0297556811481</v>
      </c>
      <c r="D7" s="5">
        <f>(B7*391)/(2220000*10.9)*1000/'Mosher Masses 0.2 23'!E5</f>
        <v>0.16912417004160124</v>
      </c>
      <c r="G7">
        <v>3</v>
      </c>
      <c r="I7">
        <v>3</v>
      </c>
      <c r="J7">
        <v>2665</v>
      </c>
    </row>
    <row r="8" spans="1:10" x14ac:dyDescent="0.25">
      <c r="A8" t="s">
        <v>83</v>
      </c>
      <c r="B8">
        <v>338</v>
      </c>
      <c r="C8" s="4">
        <f>(B8*391)/(2220000*10.9)*1000/'Mosher Masses 0.2 23'!D6</f>
        <v>3034.1809699607929</v>
      </c>
      <c r="D8" s="5">
        <f>(B8*391)/(2220000*10.9)*1000/'Mosher Masses 0.2 23'!E6</f>
        <v>0.34134535912058844</v>
      </c>
      <c r="G8">
        <v>3</v>
      </c>
      <c r="I8">
        <v>6</v>
      </c>
      <c r="J8">
        <v>3482</v>
      </c>
    </row>
    <row r="9" spans="1:10" x14ac:dyDescent="0.25">
      <c r="A9" t="s">
        <v>84</v>
      </c>
      <c r="B9">
        <v>301</v>
      </c>
      <c r="C9" s="4">
        <f>(B9*391)/(2220000*10.9)*1000/'Mosher Masses 0.2 23'!D7</f>
        <v>3331.2783689810144</v>
      </c>
      <c r="D9" s="5">
        <f>(B9*391)/(2220000*10.9)*1000/'Mosher Masses 0.2 23'!E7</f>
        <v>0.3242444279141527</v>
      </c>
      <c r="E9" s="4">
        <f>AVERAGE(C9:C11)</f>
        <v>3482.4068773428776</v>
      </c>
      <c r="F9" s="6">
        <f>STDEV(C9:C11)/E9</f>
        <v>9.5353184085941345E-2</v>
      </c>
      <c r="G9">
        <v>6</v>
      </c>
      <c r="I9">
        <v>12</v>
      </c>
      <c r="J9">
        <v>3679</v>
      </c>
    </row>
    <row r="10" spans="1:10" x14ac:dyDescent="0.25">
      <c r="A10" t="s">
        <v>85</v>
      </c>
      <c r="B10">
        <v>308</v>
      </c>
      <c r="C10" s="4">
        <f>(B10*391)/(2220000*10.9)*1000/'Mosher Masses 0.2 23'!D8</f>
        <v>3252.794078482174</v>
      </c>
      <c r="D10" s="5">
        <f>(B10*391)/(2220000*10.9)*1000/'Mosher Masses 0.2 23'!E8</f>
        <v>0.33178499600517952</v>
      </c>
      <c r="G10">
        <v>6</v>
      </c>
      <c r="I10">
        <v>16</v>
      </c>
      <c r="J10">
        <v>5176</v>
      </c>
    </row>
    <row r="11" spans="1:10" x14ac:dyDescent="0.25">
      <c r="A11" t="s">
        <v>86</v>
      </c>
      <c r="B11">
        <v>416</v>
      </c>
      <c r="C11" s="4">
        <f>(B11*391)/(2220000*10.9)*1000/'Mosher Masses 0.2 23'!D9</f>
        <v>3863.1481845654453</v>
      </c>
      <c r="D11" s="5">
        <f>(B11*391)/(2220000*10.9)*1000/'Mosher Masses 0.2 23'!E9</f>
        <v>0.44812518940959306</v>
      </c>
      <c r="G11">
        <v>6</v>
      </c>
      <c r="I11">
        <v>24</v>
      </c>
      <c r="J11">
        <v>5870</v>
      </c>
    </row>
    <row r="12" spans="1:10" x14ac:dyDescent="0.25">
      <c r="A12" t="s">
        <v>87</v>
      </c>
      <c r="B12">
        <v>334</v>
      </c>
      <c r="C12" s="4">
        <f>(B12*391)/(2220000*10.9)*1000/'Mosher Masses 0.2 23'!D10</f>
        <v>3212.4358959221327</v>
      </c>
      <c r="D12" s="5">
        <f>(B12*391)/(2220000*10.9)*1000/'Mosher Masses 0.2 23'!E10</f>
        <v>0.35979282034327909</v>
      </c>
      <c r="E12" s="4">
        <f>AVERAGE(C12:C14)</f>
        <v>3679.0671083208604</v>
      </c>
      <c r="F12" s="6">
        <f>STDEV(C12:C14)/E12</f>
        <v>0.16650288895452453</v>
      </c>
      <c r="G12">
        <v>12</v>
      </c>
      <c r="I12">
        <v>36</v>
      </c>
      <c r="J12">
        <v>8484</v>
      </c>
    </row>
    <row r="13" spans="1:10" x14ac:dyDescent="0.25">
      <c r="A13" t="s">
        <v>88</v>
      </c>
      <c r="B13">
        <v>525</v>
      </c>
      <c r="C13" s="4">
        <f>(B13*391)/(2220000*10.9)*1000/'Mosher Masses 0.2 23'!D11</f>
        <v>4372.7521146418085</v>
      </c>
      <c r="D13" s="5">
        <f>(B13*391)/(2220000*10.9)*1000/'Mosher Masses 0.2 23'!E11</f>
        <v>0.56554260682701052</v>
      </c>
      <c r="G13">
        <v>12</v>
      </c>
    </row>
    <row r="14" spans="1:10" x14ac:dyDescent="0.25">
      <c r="A14" t="s">
        <v>89</v>
      </c>
      <c r="B14">
        <v>376</v>
      </c>
      <c r="C14" s="4">
        <f>(B14*391)/(2220000*10.9)*1000/'Mosher Masses 0.2 23'!D12</f>
        <v>3452.0133143986404</v>
      </c>
      <c r="D14" s="5">
        <f>(B14*391)/(2220000*10.9)*1000/'Mosher Masses 0.2 23'!E12</f>
        <v>0.37972146458384992</v>
      </c>
      <c r="G14">
        <v>12</v>
      </c>
    </row>
    <row r="15" spans="1:10" x14ac:dyDescent="0.25">
      <c r="A15" t="s">
        <v>177</v>
      </c>
      <c r="B15">
        <v>587</v>
      </c>
      <c r="C15" s="4">
        <f>(B15*391)/(2220000*10.9)*1000/'Mosher Masses 0.2 23'!D13</f>
        <v>4582.105040820632</v>
      </c>
      <c r="D15" s="5">
        <f>(B15*391)/(2220000*10.9)*1000/'Mosher Masses 0.2 23'!E13</f>
        <v>0.59280983965616996</v>
      </c>
      <c r="E15" s="4">
        <f>AVERAGE(C15:C17)</f>
        <v>5175.6015307238604</v>
      </c>
      <c r="F15" s="6">
        <f>STDEV(C15:C17)/E15</f>
        <v>0.19857751226262585</v>
      </c>
      <c r="G15">
        <v>16</v>
      </c>
    </row>
    <row r="16" spans="1:10" x14ac:dyDescent="0.25">
      <c r="A16" t="s">
        <v>178</v>
      </c>
      <c r="B16">
        <v>553</v>
      </c>
      <c r="C16" s="4">
        <f>(B16*391)/(2220000*10.9)*1000/'Mosher Masses 0.2 23'!D14</f>
        <v>4582.3452245470744</v>
      </c>
      <c r="D16" s="5">
        <f>(B16*391)/(2220000*10.9)*1000/'Mosher Masses 0.2 23'!E14</f>
        <v>0.5957048791911177</v>
      </c>
      <c r="G16">
        <v>16</v>
      </c>
    </row>
    <row r="17" spans="1:15" x14ac:dyDescent="0.25">
      <c r="A17" t="s">
        <v>179</v>
      </c>
      <c r="B17">
        <v>693</v>
      </c>
      <c r="C17" s="4">
        <f>(B17*391)/(2220000*10.9)*1000/'Mosher Masses 0.2 23'!D15</f>
        <v>6362.3543268038766</v>
      </c>
      <c r="D17" s="5">
        <f>(B17*391)/(2220000*10.9)*1000/'Mosher Masses 0.2 23'!E15</f>
        <v>0.74651624101165381</v>
      </c>
      <c r="G17">
        <v>16</v>
      </c>
    </row>
    <row r="18" spans="1:15" x14ac:dyDescent="0.25">
      <c r="A18" t="s">
        <v>90</v>
      </c>
      <c r="B18">
        <v>472</v>
      </c>
      <c r="C18" s="4">
        <f>(B18*391)/(2220000*10.9)*1000/'Mosher Masses 0.2 23'!D16</f>
        <v>4766.7162575419334</v>
      </c>
      <c r="D18" s="5">
        <f>(B18*391)/(2220000*10.9)*1000/'Mosher Masses 0.2 23'!E16</f>
        <v>0.5447675722905081</v>
      </c>
      <c r="E18" s="4">
        <f>AVERAGE(C18:C20)</f>
        <v>5870.4046413822871</v>
      </c>
      <c r="F18" s="6">
        <f>STDEV(C18:C20)/E18</f>
        <v>0.16337417375635238</v>
      </c>
      <c r="G18">
        <v>24</v>
      </c>
      <c r="O18" t="s">
        <v>111</v>
      </c>
    </row>
    <row r="19" spans="1:15" x14ac:dyDescent="0.25">
      <c r="A19" t="s">
        <v>91</v>
      </c>
      <c r="B19">
        <v>688</v>
      </c>
      <c r="C19" s="4">
        <f>(B19*391)/(2220000*10.9)*1000/'Mosher Masses 0.2 23'!D17</f>
        <v>6501.1414118125995</v>
      </c>
      <c r="D19" s="5">
        <f>(B19*391)/(2220000*10.9)*1000/'Mosher Masses 0.2 23'!E17</f>
        <v>0.74113012094663466</v>
      </c>
      <c r="G19">
        <v>24</v>
      </c>
    </row>
    <row r="20" spans="1:15" x14ac:dyDescent="0.25">
      <c r="A20" t="s">
        <v>92</v>
      </c>
      <c r="B20">
        <v>793</v>
      </c>
      <c r="C20" s="4">
        <f>(B20*391)/(2220000*10.9)*1000/'Mosher Masses 0.2 23'!D18</f>
        <v>6343.3562547923266</v>
      </c>
      <c r="D20" s="5">
        <f>(B20*391)/(2220000*10.9)*1000/'Mosher Masses 0.2 23'!E18</f>
        <v>0.85423864231203672</v>
      </c>
      <c r="G20">
        <v>24</v>
      </c>
    </row>
    <row r="21" spans="1:15" x14ac:dyDescent="0.25">
      <c r="A21" t="s">
        <v>93</v>
      </c>
      <c r="B21">
        <v>830</v>
      </c>
      <c r="C21" s="4">
        <f>(B21*391)/(2220000*10.9)*1000/'Mosher Masses 0.2 23'!D19</f>
        <v>9000.965746240061</v>
      </c>
      <c r="D21" s="5">
        <f>(B21*391)/(2220000*10.9)*1000/'Mosher Masses 0.2 23'!E19</f>
        <v>0.95795992584983403</v>
      </c>
      <c r="E21" s="4">
        <f>AVERAGE(C21:C23)</f>
        <v>8484.2434923434848</v>
      </c>
      <c r="F21" s="6">
        <f>STDEV(C21:C23)/E21</f>
        <v>6.5186929527579596E-2</v>
      </c>
      <c r="G21">
        <v>36</v>
      </c>
    </row>
    <row r="22" spans="1:15" x14ac:dyDescent="0.25">
      <c r="A22" t="s">
        <v>94</v>
      </c>
      <c r="B22">
        <v>852</v>
      </c>
      <c r="C22" s="4">
        <f>(B22*391)/(2220000*10.9)*1000/'Mosher Masses 0.2 23'!D20</f>
        <v>8550.8837802415765</v>
      </c>
      <c r="D22" s="5">
        <f>(B22*391)/(2220000*10.9)*1000/'Mosher Masses 0.2 23'!E20</f>
        <v>0.91779485907926273</v>
      </c>
      <c r="G22">
        <v>36</v>
      </c>
    </row>
    <row r="23" spans="1:15" x14ac:dyDescent="0.25">
      <c r="A23" t="s">
        <v>95</v>
      </c>
      <c r="B23">
        <v>709</v>
      </c>
      <c r="C23" s="4">
        <f>(B23*391)/(2220000*10.9)*1000/'Mosher Masses 0.2 23'!D21</f>
        <v>7900.8809505488161</v>
      </c>
      <c r="D23" s="5">
        <f>(B23*391)/(2220000*10.9)*1000/'Mosher Masses 0.2 23'!E21</f>
        <v>0.76375182521971519</v>
      </c>
      <c r="G23">
        <v>36</v>
      </c>
    </row>
    <row r="24" spans="1:15" x14ac:dyDescent="0.25">
      <c r="A24" t="s">
        <v>99</v>
      </c>
      <c r="B24">
        <v>0</v>
      </c>
      <c r="C24" s="4">
        <f>(B24*391)/(2220000*10.9)*1000/'Mosher Masses 0.2 23'!D22</f>
        <v>0</v>
      </c>
      <c r="D24" s="5">
        <f>(B24*391)/(2220000*10.9)*1000/'Mosher Masses 0.2 23'!E22</f>
        <v>0</v>
      </c>
      <c r="E24" s="7">
        <f>AVERAGE(C24:C25)</f>
        <v>27.859241715616083</v>
      </c>
      <c r="F24" s="6">
        <f>STDEV(C24:C26)/E24</f>
        <v>1.1547005383792515</v>
      </c>
    </row>
    <row r="25" spans="1:15" x14ac:dyDescent="0.25">
      <c r="A25" t="s">
        <v>100</v>
      </c>
      <c r="B25">
        <v>4</v>
      </c>
      <c r="C25" s="4">
        <f>(B25*391)/(2220000*10.9)*1000/'Mosher Masses 0.2 23'!D23</f>
        <v>55.718483431232166</v>
      </c>
      <c r="D25" s="5">
        <f>(B25*391)/(2220000*10.9)*1000/'Mosher Masses 0.2 23'!E23</f>
        <v>4.6166743414449837E-3</v>
      </c>
    </row>
    <row r="26" spans="1:15" x14ac:dyDescent="0.25">
      <c r="A26" t="s">
        <v>101</v>
      </c>
      <c r="B26">
        <v>0</v>
      </c>
      <c r="C26" s="4">
        <f>(B26*391)/(2220000*10.9)*1000/'Mosher Masses 0.2 23'!D24</f>
        <v>0</v>
      </c>
      <c r="D26" s="5">
        <f>(B26*391)/(2220000*10.9)*1000/'Mosher Masses 0.2 23'!E24</f>
        <v>0</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4</v>
      </c>
      <c r="C32">
        <v>0</v>
      </c>
      <c r="D32">
        <v>0</v>
      </c>
      <c r="E32">
        <v>0</v>
      </c>
      <c r="F32">
        <v>3</v>
      </c>
      <c r="G32" s="8">
        <f t="shared" ref="G32:G38" si="0">(E32)/(SUM(B32+C32+D32+E32+F32))</f>
        <v>0</v>
      </c>
      <c r="I32" t="s">
        <v>102</v>
      </c>
      <c r="J32">
        <v>20</v>
      </c>
      <c r="L32">
        <v>0</v>
      </c>
      <c r="M32">
        <v>0</v>
      </c>
      <c r="N32">
        <v>0</v>
      </c>
      <c r="O32">
        <v>0</v>
      </c>
    </row>
    <row r="33" spans="1:15" x14ac:dyDescent="0.25">
      <c r="A33" t="s">
        <v>123</v>
      </c>
      <c r="B33">
        <v>19</v>
      </c>
      <c r="C33">
        <v>2</v>
      </c>
      <c r="D33">
        <v>9</v>
      </c>
      <c r="E33">
        <v>381</v>
      </c>
      <c r="F33">
        <v>3</v>
      </c>
      <c r="G33" s="8">
        <f t="shared" si="0"/>
        <v>0.92028985507246375</v>
      </c>
      <c r="L33">
        <v>0</v>
      </c>
      <c r="M33">
        <v>0</v>
      </c>
      <c r="N33">
        <v>0</v>
      </c>
      <c r="O33">
        <v>0</v>
      </c>
    </row>
    <row r="34" spans="1:15" x14ac:dyDescent="0.25">
      <c r="A34" t="s">
        <v>124</v>
      </c>
      <c r="B34">
        <v>39</v>
      </c>
      <c r="C34">
        <v>3</v>
      </c>
      <c r="D34">
        <v>1</v>
      </c>
      <c r="E34">
        <v>370</v>
      </c>
      <c r="F34">
        <v>1</v>
      </c>
      <c r="G34" s="8">
        <f t="shared" si="0"/>
        <v>0.893719806763285</v>
      </c>
      <c r="L34">
        <v>0</v>
      </c>
      <c r="M34">
        <v>0</v>
      </c>
      <c r="N34">
        <v>0</v>
      </c>
      <c r="O34">
        <v>0</v>
      </c>
    </row>
    <row r="35" spans="1:15" x14ac:dyDescent="0.25">
      <c r="A35" t="s">
        <v>125</v>
      </c>
      <c r="B35">
        <v>128</v>
      </c>
      <c r="C35">
        <v>5</v>
      </c>
      <c r="D35">
        <v>13</v>
      </c>
      <c r="E35">
        <v>518</v>
      </c>
      <c r="F35">
        <v>2</v>
      </c>
      <c r="G35" s="8">
        <f t="shared" si="0"/>
        <v>0.77777777777777779</v>
      </c>
      <c r="L35">
        <v>3</v>
      </c>
      <c r="M35">
        <v>3187</v>
      </c>
      <c r="N35" s="4">
        <f>M35*0.92</f>
        <v>2932.04</v>
      </c>
      <c r="O35" s="4">
        <f>M35-N35</f>
        <v>254.96000000000004</v>
      </c>
    </row>
    <row r="36" spans="1:15" x14ac:dyDescent="0.25">
      <c r="A36" t="s">
        <v>180</v>
      </c>
      <c r="B36">
        <v>178</v>
      </c>
      <c r="C36">
        <v>22</v>
      </c>
      <c r="D36">
        <v>20</v>
      </c>
      <c r="E36">
        <v>575</v>
      </c>
      <c r="F36">
        <v>2</v>
      </c>
      <c r="G36" s="8">
        <f t="shared" si="0"/>
        <v>0.72145545796737764</v>
      </c>
      <c r="L36">
        <v>3</v>
      </c>
      <c r="M36">
        <v>1774</v>
      </c>
      <c r="N36" s="4">
        <f t="shared" ref="N36:N37" si="1">M36*0.92</f>
        <v>1632.0800000000002</v>
      </c>
      <c r="O36" s="4">
        <f t="shared" ref="O36:O52" si="2">M36-N36</f>
        <v>141.91999999999985</v>
      </c>
    </row>
    <row r="37" spans="1:15" x14ac:dyDescent="0.25">
      <c r="A37" t="s">
        <v>126</v>
      </c>
      <c r="B37">
        <v>245</v>
      </c>
      <c r="C37">
        <v>31</v>
      </c>
      <c r="D37">
        <v>25</v>
      </c>
      <c r="E37">
        <v>525</v>
      </c>
      <c r="F37">
        <v>0</v>
      </c>
      <c r="G37" s="8">
        <f t="shared" si="0"/>
        <v>0.63559322033898302</v>
      </c>
      <c r="L37">
        <v>3</v>
      </c>
      <c r="M37">
        <v>3034</v>
      </c>
      <c r="N37" s="4">
        <f t="shared" si="1"/>
        <v>2791.28</v>
      </c>
      <c r="O37" s="4">
        <f t="shared" si="2"/>
        <v>242.7199999999998</v>
      </c>
    </row>
    <row r="38" spans="1:15" x14ac:dyDescent="0.25">
      <c r="A38" t="s">
        <v>127</v>
      </c>
      <c r="B38">
        <v>445</v>
      </c>
      <c r="C38">
        <v>41</v>
      </c>
      <c r="D38">
        <v>30</v>
      </c>
      <c r="E38">
        <v>489</v>
      </c>
      <c r="F38">
        <v>9</v>
      </c>
      <c r="G38" s="8">
        <f t="shared" si="0"/>
        <v>0.48224852071005919</v>
      </c>
      <c r="L38">
        <v>6</v>
      </c>
      <c r="M38">
        <v>3331</v>
      </c>
      <c r="N38" s="4">
        <f>M38*0.89</f>
        <v>2964.59</v>
      </c>
      <c r="O38" s="4">
        <f t="shared" si="2"/>
        <v>366.40999999999985</v>
      </c>
    </row>
    <row r="39" spans="1:15" x14ac:dyDescent="0.25">
      <c r="L39">
        <v>6</v>
      </c>
      <c r="M39">
        <v>3253</v>
      </c>
      <c r="N39" s="4">
        <f t="shared" ref="N39:N40" si="3">M39*0.89</f>
        <v>2895.17</v>
      </c>
      <c r="O39" s="4">
        <f t="shared" si="2"/>
        <v>357.82999999999993</v>
      </c>
    </row>
    <row r="40" spans="1:15" x14ac:dyDescent="0.25">
      <c r="L40">
        <v>6</v>
      </c>
      <c r="M40">
        <v>3863</v>
      </c>
      <c r="N40" s="4">
        <f t="shared" si="3"/>
        <v>3438.07</v>
      </c>
      <c r="O40" s="4">
        <f t="shared" si="2"/>
        <v>424.92999999999984</v>
      </c>
    </row>
    <row r="41" spans="1:15" x14ac:dyDescent="0.25">
      <c r="L41">
        <v>12</v>
      </c>
      <c r="M41">
        <v>3212</v>
      </c>
      <c r="N41" s="4">
        <f>M41*0.78</f>
        <v>2505.36</v>
      </c>
      <c r="O41" s="4">
        <f t="shared" si="2"/>
        <v>706.63999999999987</v>
      </c>
    </row>
    <row r="42" spans="1:15" x14ac:dyDescent="0.25">
      <c r="L42">
        <v>12</v>
      </c>
      <c r="M42">
        <v>4373</v>
      </c>
      <c r="N42" s="4">
        <f t="shared" ref="N42:N43" si="4">M42*0.78</f>
        <v>3410.94</v>
      </c>
      <c r="O42" s="4">
        <f t="shared" si="2"/>
        <v>962.06</v>
      </c>
    </row>
    <row r="43" spans="1:15" x14ac:dyDescent="0.25">
      <c r="L43">
        <v>12</v>
      </c>
      <c r="M43">
        <v>3452</v>
      </c>
      <c r="N43" s="4">
        <f t="shared" si="4"/>
        <v>2692.56</v>
      </c>
      <c r="O43" s="4">
        <f t="shared" si="2"/>
        <v>759.44</v>
      </c>
    </row>
    <row r="44" spans="1:15" x14ac:dyDescent="0.25">
      <c r="L44">
        <v>16</v>
      </c>
      <c r="M44">
        <v>4582</v>
      </c>
      <c r="N44" s="4">
        <f>M44*0.72</f>
        <v>3299.04</v>
      </c>
      <c r="O44" s="4">
        <f t="shared" si="2"/>
        <v>1282.96</v>
      </c>
    </row>
    <row r="45" spans="1:15" x14ac:dyDescent="0.25">
      <c r="L45">
        <v>16</v>
      </c>
      <c r="M45">
        <v>4582</v>
      </c>
      <c r="N45" s="4">
        <f t="shared" ref="N45:N46" si="5">M45*0.72</f>
        <v>3299.04</v>
      </c>
      <c r="O45" s="4">
        <f t="shared" si="2"/>
        <v>1282.96</v>
      </c>
    </row>
    <row r="46" spans="1:15" x14ac:dyDescent="0.25">
      <c r="L46">
        <v>16</v>
      </c>
      <c r="M46">
        <v>6362</v>
      </c>
      <c r="N46" s="4">
        <f t="shared" si="5"/>
        <v>4580.6399999999994</v>
      </c>
      <c r="O46" s="4">
        <f t="shared" si="2"/>
        <v>1781.3600000000006</v>
      </c>
    </row>
    <row r="47" spans="1:15" x14ac:dyDescent="0.25">
      <c r="L47">
        <v>24</v>
      </c>
      <c r="M47">
        <v>4767</v>
      </c>
      <c r="N47" s="4">
        <f>M47*0.64</f>
        <v>3050.88</v>
      </c>
      <c r="O47" s="4">
        <f t="shared" si="2"/>
        <v>1716.12</v>
      </c>
    </row>
    <row r="48" spans="1:15" x14ac:dyDescent="0.25">
      <c r="L48">
        <v>24</v>
      </c>
      <c r="M48">
        <v>6501</v>
      </c>
      <c r="N48" s="4">
        <f t="shared" ref="N48:N49" si="6">M48*0.64</f>
        <v>4160.6400000000003</v>
      </c>
      <c r="O48" s="4">
        <f t="shared" si="2"/>
        <v>2340.3599999999997</v>
      </c>
    </row>
    <row r="49" spans="12:15" x14ac:dyDescent="0.25">
      <c r="L49">
        <v>24</v>
      </c>
      <c r="M49">
        <v>6343</v>
      </c>
      <c r="N49" s="4">
        <f t="shared" si="6"/>
        <v>4059.52</v>
      </c>
      <c r="O49" s="4">
        <f t="shared" si="2"/>
        <v>2283.48</v>
      </c>
    </row>
    <row r="50" spans="12:15" x14ac:dyDescent="0.25">
      <c r="L50">
        <v>36</v>
      </c>
      <c r="M50">
        <v>9001</v>
      </c>
      <c r="N50" s="4">
        <f>M50*0.48</f>
        <v>4320.4799999999996</v>
      </c>
      <c r="O50" s="4">
        <f t="shared" si="2"/>
        <v>4680.5200000000004</v>
      </c>
    </row>
    <row r="51" spans="12:15" x14ac:dyDescent="0.25">
      <c r="L51">
        <v>36</v>
      </c>
      <c r="M51">
        <v>8551</v>
      </c>
      <c r="N51" s="4">
        <f t="shared" ref="N51:N52" si="7">M51*0.48</f>
        <v>4104.4799999999996</v>
      </c>
      <c r="O51" s="4">
        <f t="shared" si="2"/>
        <v>4446.5200000000004</v>
      </c>
    </row>
    <row r="52" spans="12:15" x14ac:dyDescent="0.25">
      <c r="L52">
        <v>36</v>
      </c>
      <c r="M52">
        <v>7901</v>
      </c>
      <c r="N52" s="4">
        <f t="shared" si="7"/>
        <v>3792.48</v>
      </c>
      <c r="O52" s="4">
        <f t="shared" si="2"/>
        <v>4108.5200000000004</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J46"/>
  <sheetViews>
    <sheetView topLeftCell="A19" workbookViewId="0">
      <selection activeCell="J6" sqref="J6"/>
    </sheetView>
  </sheetViews>
  <sheetFormatPr defaultColWidth="11" defaultRowHeight="15.75" x14ac:dyDescent="0.25"/>
  <cols>
    <col min="1" max="1" width="15.5" customWidth="1"/>
    <col min="2" max="2" width="22.375" customWidth="1"/>
    <col min="3" max="3" width="8.875" customWidth="1"/>
    <col min="4" max="4" width="11.125" customWidth="1"/>
    <col min="6" max="6" width="12.125" customWidth="1"/>
  </cols>
  <sheetData>
    <row r="1" spans="1:10" x14ac:dyDescent="0.25">
      <c r="C1" t="s">
        <v>102</v>
      </c>
      <c r="D1">
        <v>20</v>
      </c>
    </row>
    <row r="3" spans="1:10" x14ac:dyDescent="0.25">
      <c r="A3" t="s">
        <v>75</v>
      </c>
      <c r="B3" t="s">
        <v>129</v>
      </c>
      <c r="C3" t="s">
        <v>130</v>
      </c>
      <c r="D3" t="s">
        <v>131</v>
      </c>
      <c r="E3" t="s">
        <v>132</v>
      </c>
      <c r="F3" t="s">
        <v>133</v>
      </c>
      <c r="H3" t="s">
        <v>134</v>
      </c>
    </row>
    <row r="4" spans="1:10" x14ac:dyDescent="0.25">
      <c r="A4" t="s">
        <v>136</v>
      </c>
      <c r="B4">
        <v>0</v>
      </c>
      <c r="C4">
        <f>B4/10</f>
        <v>0</v>
      </c>
      <c r="D4" s="4">
        <f>(C4*391*1000)/(2220000*10.9)</f>
        <v>0</v>
      </c>
      <c r="E4" s="4"/>
      <c r="J4" s="19"/>
    </row>
    <row r="5" spans="1:10" x14ac:dyDescent="0.25">
      <c r="A5" t="s">
        <v>137</v>
      </c>
      <c r="B5">
        <v>74</v>
      </c>
      <c r="C5">
        <f>B5/2000</f>
        <v>3.6999999999999998E-2</v>
      </c>
      <c r="D5" s="2">
        <f>(C5*391*1000)/(2220000*10.9)</f>
        <v>5.9785932721712531E-4</v>
      </c>
      <c r="E5" s="4">
        <f>D5*1000*1000</f>
        <v>597.85932721712527</v>
      </c>
    </row>
    <row r="6" spans="1:10" x14ac:dyDescent="0.25">
      <c r="A6" t="s">
        <v>138</v>
      </c>
      <c r="B6">
        <v>57</v>
      </c>
      <c r="C6">
        <f t="shared" ref="C6:C31" si="0">B6/2000</f>
        <v>2.8500000000000001E-2</v>
      </c>
      <c r="D6" s="2">
        <f t="shared" ref="D6:D31" si="1">(C6*391*1000)/(2220000*10.9)</f>
        <v>4.6051326555913714E-4</v>
      </c>
      <c r="E6" s="4">
        <f t="shared" ref="E6:E31" si="2">D6*1000*1000</f>
        <v>460.51326555913715</v>
      </c>
    </row>
    <row r="7" spans="1:10" x14ac:dyDescent="0.25">
      <c r="A7" t="s">
        <v>139</v>
      </c>
      <c r="B7">
        <v>36</v>
      </c>
      <c r="C7">
        <f t="shared" si="0"/>
        <v>1.7999999999999999E-2</v>
      </c>
      <c r="D7" s="2">
        <f t="shared" si="1"/>
        <v>2.9085048351103394E-4</v>
      </c>
      <c r="E7" s="4">
        <f t="shared" si="2"/>
        <v>290.85048351103393</v>
      </c>
    </row>
    <row r="8" spans="1:10" x14ac:dyDescent="0.25">
      <c r="A8" t="s">
        <v>181</v>
      </c>
      <c r="B8">
        <v>38</v>
      </c>
      <c r="C8">
        <f t="shared" si="0"/>
        <v>1.9E-2</v>
      </c>
      <c r="D8" s="2">
        <f t="shared" si="1"/>
        <v>3.0700884370609137E-4</v>
      </c>
      <c r="E8" s="4">
        <f t="shared" si="2"/>
        <v>307.0088437060914</v>
      </c>
    </row>
    <row r="9" spans="1:10" x14ac:dyDescent="0.25">
      <c r="A9" t="s">
        <v>140</v>
      </c>
      <c r="B9">
        <v>43</v>
      </c>
      <c r="C9">
        <f t="shared" si="0"/>
        <v>2.1499999999999998E-2</v>
      </c>
      <c r="D9" s="2">
        <f t="shared" si="1"/>
        <v>3.4740474419373501E-4</v>
      </c>
      <c r="E9" s="4">
        <f t="shared" si="2"/>
        <v>347.40474419373504</v>
      </c>
    </row>
    <row r="10" spans="1:10" x14ac:dyDescent="0.25">
      <c r="A10" t="s">
        <v>141</v>
      </c>
      <c r="B10">
        <v>43</v>
      </c>
      <c r="C10">
        <f t="shared" si="0"/>
        <v>2.1499999999999998E-2</v>
      </c>
      <c r="D10" s="2">
        <f t="shared" si="1"/>
        <v>3.4740474419373501E-4</v>
      </c>
      <c r="E10" s="4">
        <f t="shared" si="2"/>
        <v>347.40474419373504</v>
      </c>
    </row>
    <row r="11" spans="1:10" x14ac:dyDescent="0.25">
      <c r="A11" t="s">
        <v>143</v>
      </c>
      <c r="B11">
        <v>68</v>
      </c>
      <c r="C11">
        <f t="shared" si="0"/>
        <v>3.4000000000000002E-2</v>
      </c>
      <c r="D11" s="2">
        <f t="shared" si="1"/>
        <v>5.4938424663195302E-4</v>
      </c>
      <c r="E11" s="4">
        <f t="shared" si="2"/>
        <v>549.38424663195303</v>
      </c>
      <c r="F11" s="4">
        <f>AVERAGE(E11:E13)</f>
        <v>438.96878529906053</v>
      </c>
      <c r="G11" s="3">
        <f>STDEV(E11:E13)/F11</f>
        <v>0.22715961449783542</v>
      </c>
      <c r="H11" s="13">
        <f>E11/1000</f>
        <v>0.54938424663195307</v>
      </c>
      <c r="I11">
        <v>3</v>
      </c>
    </row>
    <row r="12" spans="1:10" x14ac:dyDescent="0.25">
      <c r="A12" t="s">
        <v>144</v>
      </c>
      <c r="B12">
        <v>44</v>
      </c>
      <c r="C12">
        <f t="shared" si="0"/>
        <v>2.1999999999999999E-2</v>
      </c>
      <c r="D12" s="2">
        <f t="shared" si="1"/>
        <v>3.5548392429126372E-4</v>
      </c>
      <c r="E12" s="4">
        <f t="shared" si="2"/>
        <v>355.48392429126375</v>
      </c>
      <c r="H12" s="13">
        <f t="shared" ref="H12:H28" si="3">E12/1000</f>
        <v>0.35548392429126374</v>
      </c>
      <c r="I12">
        <v>3</v>
      </c>
    </row>
    <row r="13" spans="1:10" x14ac:dyDescent="0.25">
      <c r="A13" t="s">
        <v>145</v>
      </c>
      <c r="B13">
        <v>51</v>
      </c>
      <c r="C13">
        <f t="shared" si="0"/>
        <v>2.5499999999999998E-2</v>
      </c>
      <c r="D13" s="2">
        <f t="shared" si="1"/>
        <v>4.1203818497396479E-4</v>
      </c>
      <c r="E13" s="4">
        <f t="shared" si="2"/>
        <v>412.03818497396475</v>
      </c>
      <c r="H13" s="13">
        <f t="shared" si="3"/>
        <v>0.41203818497396477</v>
      </c>
      <c r="I13">
        <v>3</v>
      </c>
    </row>
    <row r="14" spans="1:10" x14ac:dyDescent="0.25">
      <c r="A14" t="s">
        <v>146</v>
      </c>
      <c r="B14">
        <v>49</v>
      </c>
      <c r="C14">
        <f t="shared" si="0"/>
        <v>2.4500000000000001E-2</v>
      </c>
      <c r="D14" s="2">
        <f t="shared" si="1"/>
        <v>3.9587982477890741E-4</v>
      </c>
      <c r="E14" s="4">
        <f t="shared" si="2"/>
        <v>395.87982477890745</v>
      </c>
      <c r="F14" s="4">
        <f>AVERAGE(E14:E16)</f>
        <v>393.18676474639784</v>
      </c>
      <c r="G14" s="3">
        <f>STDEV(E14:E16)/F14</f>
        <v>0.11316925782094729</v>
      </c>
      <c r="H14" s="13">
        <f t="shared" si="3"/>
        <v>0.39587982477890743</v>
      </c>
      <c r="I14">
        <v>6</v>
      </c>
    </row>
    <row r="15" spans="1:10" x14ac:dyDescent="0.25">
      <c r="A15" t="s">
        <v>147</v>
      </c>
      <c r="B15">
        <v>43</v>
      </c>
      <c r="C15">
        <f t="shared" si="0"/>
        <v>2.1499999999999998E-2</v>
      </c>
      <c r="D15" s="2">
        <f t="shared" si="1"/>
        <v>3.4740474419373501E-4</v>
      </c>
      <c r="E15" s="4">
        <f t="shared" si="2"/>
        <v>347.40474419373504</v>
      </c>
      <c r="H15" s="13">
        <f t="shared" si="3"/>
        <v>0.34740474419373502</v>
      </c>
      <c r="I15">
        <v>6</v>
      </c>
    </row>
    <row r="16" spans="1:10" x14ac:dyDescent="0.25">
      <c r="A16" t="s">
        <v>148</v>
      </c>
      <c r="B16">
        <v>54</v>
      </c>
      <c r="C16">
        <f t="shared" si="0"/>
        <v>2.7E-2</v>
      </c>
      <c r="D16" s="2">
        <f t="shared" si="1"/>
        <v>4.3627572526655094E-4</v>
      </c>
      <c r="E16" s="4">
        <f t="shared" si="2"/>
        <v>436.27572526655098</v>
      </c>
      <c r="H16" s="13">
        <f t="shared" si="3"/>
        <v>0.43627572526655095</v>
      </c>
      <c r="I16">
        <v>6</v>
      </c>
    </row>
    <row r="17" spans="1:9" x14ac:dyDescent="0.25">
      <c r="A17" t="s">
        <v>149</v>
      </c>
      <c r="B17">
        <v>37</v>
      </c>
      <c r="C17">
        <f t="shared" si="0"/>
        <v>1.8499999999999999E-2</v>
      </c>
      <c r="D17" s="2">
        <f t="shared" si="1"/>
        <v>2.9892966360856266E-4</v>
      </c>
      <c r="E17" s="4">
        <f t="shared" si="2"/>
        <v>298.92966360856263</v>
      </c>
      <c r="F17" s="4">
        <f>AVERAGE(E17:E19)</f>
        <v>280.07824338099567</v>
      </c>
      <c r="G17" s="3">
        <f>STDEV(E17:E19)/F17</f>
        <v>6.0048057676907567E-2</v>
      </c>
      <c r="H17" s="13">
        <f t="shared" si="3"/>
        <v>0.29892966360856266</v>
      </c>
      <c r="I17">
        <v>12</v>
      </c>
    </row>
    <row r="18" spans="1:9" x14ac:dyDescent="0.25">
      <c r="A18" t="s">
        <v>150</v>
      </c>
      <c r="B18">
        <v>34</v>
      </c>
      <c r="C18">
        <f t="shared" si="0"/>
        <v>1.7000000000000001E-2</v>
      </c>
      <c r="D18" s="2">
        <f t="shared" si="1"/>
        <v>2.7469212331597651E-4</v>
      </c>
      <c r="E18" s="4">
        <f t="shared" si="2"/>
        <v>274.69212331597652</v>
      </c>
      <c r="H18" s="13">
        <f t="shared" si="3"/>
        <v>0.27469212331597653</v>
      </c>
      <c r="I18">
        <v>12</v>
      </c>
    </row>
    <row r="19" spans="1:9" x14ac:dyDescent="0.25">
      <c r="A19" t="s">
        <v>151</v>
      </c>
      <c r="B19">
        <v>33</v>
      </c>
      <c r="C19">
        <f t="shared" si="0"/>
        <v>1.6500000000000001E-2</v>
      </c>
      <c r="D19" s="2">
        <f t="shared" si="1"/>
        <v>2.6661294321844779E-4</v>
      </c>
      <c r="E19" s="4">
        <f t="shared" si="2"/>
        <v>266.61294321844781</v>
      </c>
      <c r="H19" s="13">
        <f t="shared" si="3"/>
        <v>0.26661294321844781</v>
      </c>
      <c r="I19">
        <v>12</v>
      </c>
    </row>
    <row r="20" spans="1:9" x14ac:dyDescent="0.25">
      <c r="A20" t="s">
        <v>182</v>
      </c>
      <c r="B20">
        <v>37</v>
      </c>
      <c r="C20">
        <f t="shared" si="0"/>
        <v>1.8499999999999999E-2</v>
      </c>
      <c r="D20" s="2">
        <f t="shared" si="1"/>
        <v>2.9892966360856266E-4</v>
      </c>
      <c r="E20" s="4">
        <f t="shared" si="2"/>
        <v>298.92966360856263</v>
      </c>
      <c r="F20" s="4">
        <f>AVERAGE(E20:E22)</f>
        <v>325.86026393365842</v>
      </c>
      <c r="G20" s="3">
        <f>STDEV(E20:E22)/F20</f>
        <v>7.1572347420201618E-2</v>
      </c>
      <c r="H20" s="13">
        <f t="shared" si="3"/>
        <v>0.29892966360856266</v>
      </c>
      <c r="I20">
        <v>16</v>
      </c>
    </row>
    <row r="21" spans="1:9" x14ac:dyDescent="0.25">
      <c r="A21" t="s">
        <v>183</v>
      </c>
      <c r="B21">
        <v>42</v>
      </c>
      <c r="C21">
        <f t="shared" si="0"/>
        <v>2.1000000000000001E-2</v>
      </c>
      <c r="D21" s="2">
        <f t="shared" si="1"/>
        <v>3.3932556409620629E-4</v>
      </c>
      <c r="E21" s="4">
        <f t="shared" si="2"/>
        <v>339.32556409620628</v>
      </c>
      <c r="H21" s="13">
        <f t="shared" si="3"/>
        <v>0.33932556409620629</v>
      </c>
      <c r="I21">
        <v>16</v>
      </c>
    </row>
    <row r="22" spans="1:9" x14ac:dyDescent="0.25">
      <c r="A22" t="s">
        <v>184</v>
      </c>
      <c r="B22">
        <v>42</v>
      </c>
      <c r="C22">
        <f t="shared" si="0"/>
        <v>2.1000000000000001E-2</v>
      </c>
      <c r="D22" s="2">
        <f t="shared" si="1"/>
        <v>3.3932556409620629E-4</v>
      </c>
      <c r="E22" s="4">
        <f t="shared" si="2"/>
        <v>339.32556409620628</v>
      </c>
      <c r="H22" s="13">
        <f t="shared" si="3"/>
        <v>0.33932556409620629</v>
      </c>
      <c r="I22">
        <v>16</v>
      </c>
    </row>
    <row r="23" spans="1:9" x14ac:dyDescent="0.25">
      <c r="A23" t="s">
        <v>152</v>
      </c>
      <c r="B23">
        <v>29</v>
      </c>
      <c r="C23">
        <f t="shared" si="0"/>
        <v>1.4500000000000001E-2</v>
      </c>
      <c r="D23" s="2">
        <f t="shared" si="1"/>
        <v>2.3429622282833293E-4</v>
      </c>
      <c r="E23" s="4">
        <f t="shared" si="2"/>
        <v>234.29622282833293</v>
      </c>
      <c r="F23" s="4">
        <f>AVERAGE(E23:E25)</f>
        <v>280.07824338099567</v>
      </c>
      <c r="G23" s="3">
        <f>STDEV(E23:E25)/F23</f>
        <v>0.17387635884639641</v>
      </c>
      <c r="H23" s="13">
        <f t="shared" si="3"/>
        <v>0.23429622282833293</v>
      </c>
      <c r="I23">
        <v>24</v>
      </c>
    </row>
    <row r="24" spans="1:9" x14ac:dyDescent="0.25">
      <c r="A24" t="s">
        <v>153</v>
      </c>
      <c r="B24">
        <v>41</v>
      </c>
      <c r="C24">
        <f t="shared" si="0"/>
        <v>2.0500000000000001E-2</v>
      </c>
      <c r="D24" s="2">
        <f t="shared" si="1"/>
        <v>3.3124638399867763E-4</v>
      </c>
      <c r="E24" s="4">
        <f t="shared" si="2"/>
        <v>331.24638399867763</v>
      </c>
      <c r="H24" s="13">
        <f t="shared" si="3"/>
        <v>0.33124638399867762</v>
      </c>
      <c r="I24">
        <v>24</v>
      </c>
    </row>
    <row r="25" spans="1:9" x14ac:dyDescent="0.25">
      <c r="A25" t="s">
        <v>154</v>
      </c>
      <c r="B25">
        <v>34</v>
      </c>
      <c r="C25">
        <f t="shared" si="0"/>
        <v>1.7000000000000001E-2</v>
      </c>
      <c r="D25" s="2">
        <f t="shared" si="1"/>
        <v>2.7469212331597651E-4</v>
      </c>
      <c r="E25" s="4">
        <f t="shared" si="2"/>
        <v>274.69212331597652</v>
      </c>
      <c r="H25" s="13">
        <f t="shared" si="3"/>
        <v>0.27469212331597653</v>
      </c>
      <c r="I25">
        <v>24</v>
      </c>
    </row>
    <row r="26" spans="1:9" x14ac:dyDescent="0.25">
      <c r="A26" t="s">
        <v>155</v>
      </c>
      <c r="B26">
        <v>36</v>
      </c>
      <c r="C26">
        <f t="shared" si="0"/>
        <v>1.7999999999999999E-2</v>
      </c>
      <c r="D26" s="2">
        <f t="shared" si="1"/>
        <v>2.9085048351103394E-4</v>
      </c>
      <c r="E26" s="4">
        <f t="shared" si="2"/>
        <v>290.85048351103393</v>
      </c>
      <c r="F26" s="4">
        <f>AVERAGE(E26:E28)</f>
        <v>312.39496377111055</v>
      </c>
      <c r="G26" s="3">
        <f>STDEV(E26:E28)/F26</f>
        <v>5.9725889916168166E-2</v>
      </c>
      <c r="H26" s="13">
        <f t="shared" si="3"/>
        <v>0.29085048351103393</v>
      </c>
      <c r="I26">
        <v>36</v>
      </c>
    </row>
    <row r="27" spans="1:9" x14ac:dyDescent="0.25">
      <c r="A27" t="s">
        <v>156</v>
      </c>
      <c r="B27">
        <v>40</v>
      </c>
      <c r="C27">
        <f t="shared" si="0"/>
        <v>0.02</v>
      </c>
      <c r="D27" s="2">
        <f t="shared" si="1"/>
        <v>3.2316720390114886E-4</v>
      </c>
      <c r="E27" s="4">
        <f t="shared" si="2"/>
        <v>323.16720390114881</v>
      </c>
      <c r="H27" s="13">
        <f t="shared" si="3"/>
        <v>0.32316720390114884</v>
      </c>
      <c r="I27">
        <v>36</v>
      </c>
    </row>
    <row r="28" spans="1:9" x14ac:dyDescent="0.25">
      <c r="A28" t="s">
        <v>157</v>
      </c>
      <c r="B28">
        <v>40</v>
      </c>
      <c r="C28">
        <f t="shared" si="0"/>
        <v>0.02</v>
      </c>
      <c r="D28" s="2">
        <f t="shared" si="1"/>
        <v>3.2316720390114886E-4</v>
      </c>
      <c r="E28" s="4">
        <f t="shared" si="2"/>
        <v>323.16720390114881</v>
      </c>
      <c r="H28" s="13">
        <f t="shared" si="3"/>
        <v>0.32316720390114884</v>
      </c>
      <c r="I28">
        <v>36</v>
      </c>
    </row>
    <row r="29" spans="1:9" x14ac:dyDescent="0.25">
      <c r="A29" t="s">
        <v>99</v>
      </c>
      <c r="B29">
        <v>0</v>
      </c>
      <c r="C29">
        <f t="shared" si="0"/>
        <v>0</v>
      </c>
      <c r="D29" s="2">
        <f t="shared" si="1"/>
        <v>0</v>
      </c>
      <c r="E29" s="4">
        <f t="shared" si="2"/>
        <v>0</v>
      </c>
      <c r="F29" s="4">
        <f>AVERAGE(E29:E31)</f>
        <v>18.851420227567019</v>
      </c>
    </row>
    <row r="30" spans="1:9" x14ac:dyDescent="0.25">
      <c r="A30" t="s">
        <v>100</v>
      </c>
      <c r="B30">
        <v>3</v>
      </c>
      <c r="C30">
        <f t="shared" si="0"/>
        <v>1.5E-3</v>
      </c>
      <c r="D30" s="2">
        <f t="shared" si="1"/>
        <v>2.4237540292586165E-5</v>
      </c>
      <c r="E30" s="4">
        <f t="shared" si="2"/>
        <v>24.237540292586164</v>
      </c>
    </row>
    <row r="31" spans="1:9" x14ac:dyDescent="0.25">
      <c r="A31" t="s">
        <v>101</v>
      </c>
      <c r="B31">
        <v>4</v>
      </c>
      <c r="C31">
        <f t="shared" si="0"/>
        <v>2E-3</v>
      </c>
      <c r="D31" s="2">
        <f t="shared" si="1"/>
        <v>3.2316720390114885E-5</v>
      </c>
      <c r="E31" s="4">
        <f t="shared" si="2"/>
        <v>32.316720390114888</v>
      </c>
    </row>
    <row r="32" spans="1:9" x14ac:dyDescent="0.25">
      <c r="D32" s="2"/>
      <c r="E32" s="4"/>
    </row>
    <row r="33" spans="1:5" x14ac:dyDescent="0.25">
      <c r="D33" s="2"/>
      <c r="E33" s="4"/>
    </row>
    <row r="34" spans="1:5" x14ac:dyDescent="0.25">
      <c r="A34" s="14" t="s">
        <v>164</v>
      </c>
      <c r="B34" s="14">
        <f t="array" ref="B34:C38">LINEST(E11:E28,I11:I28,TRUE,TRUE)</f>
        <v>-3.4836556663578118</v>
      </c>
      <c r="C34" s="15">
        <v>394.74697735815448</v>
      </c>
      <c r="D34" s="16" t="s">
        <v>165</v>
      </c>
      <c r="E34" s="17"/>
    </row>
    <row r="35" spans="1:5" x14ac:dyDescent="0.25">
      <c r="A35" s="14" t="s">
        <v>166</v>
      </c>
      <c r="B35" s="14">
        <v>1.3543661234911744</v>
      </c>
      <c r="C35" s="15">
        <v>26.614816365447666</v>
      </c>
      <c r="D35" s="16" t="s">
        <v>166</v>
      </c>
      <c r="E35" s="17"/>
    </row>
    <row r="36" spans="1:5" x14ac:dyDescent="0.25">
      <c r="A36" s="14" t="s">
        <v>167</v>
      </c>
      <c r="B36" s="14">
        <v>0.29253758332243629</v>
      </c>
      <c r="C36" s="15">
        <v>64.193239639766873</v>
      </c>
      <c r="D36" s="16" t="s">
        <v>168</v>
      </c>
      <c r="E36" s="17"/>
    </row>
    <row r="37" spans="1:5" x14ac:dyDescent="0.25">
      <c r="A37" s="14" t="s">
        <v>169</v>
      </c>
      <c r="B37" s="14">
        <v>6.6160423830574073</v>
      </c>
      <c r="C37" s="15">
        <v>16</v>
      </c>
      <c r="D37" s="16" t="s">
        <v>170</v>
      </c>
      <c r="E37" s="17"/>
    </row>
    <row r="38" spans="1:5" x14ac:dyDescent="0.25">
      <c r="A38" s="14" t="s">
        <v>171</v>
      </c>
      <c r="B38" s="14">
        <v>27263.202305124418</v>
      </c>
      <c r="C38" s="15">
        <v>65932.352247176605</v>
      </c>
      <c r="D38" s="16" t="s">
        <v>172</v>
      </c>
      <c r="E38" s="17"/>
    </row>
    <row r="39" spans="1:5" x14ac:dyDescent="0.25">
      <c r="D39" s="2"/>
      <c r="E39" s="4"/>
    </row>
    <row r="40" spans="1:5" x14ac:dyDescent="0.25">
      <c r="D40" s="2"/>
      <c r="E40" s="4"/>
    </row>
    <row r="41" spans="1:5" x14ac:dyDescent="0.25">
      <c r="A41" s="14" t="s">
        <v>173</v>
      </c>
      <c r="B41" s="14">
        <f>B34/B35</f>
        <v>-2.572166865321416</v>
      </c>
      <c r="D41" s="2"/>
      <c r="E41" s="4"/>
    </row>
    <row r="42" spans="1:5" x14ac:dyDescent="0.25">
      <c r="A42" s="14" t="s">
        <v>174</v>
      </c>
      <c r="B42" s="14">
        <f>TDIST(ABS(B41),C37,2)</f>
        <v>2.0464246926821937E-2</v>
      </c>
      <c r="C42" t="s">
        <v>190</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F24"/>
  <sheetViews>
    <sheetView workbookViewId="0">
      <selection activeCell="C32" sqref="C32"/>
    </sheetView>
  </sheetViews>
  <sheetFormatPr defaultColWidth="11" defaultRowHeight="15.75" x14ac:dyDescent="0.25"/>
  <cols>
    <col min="1" max="1" width="14" customWidth="1"/>
    <col min="2" max="2" width="17.875" customWidth="1"/>
    <col min="3" max="3" width="22" customWidth="1"/>
    <col min="4" max="4" width="19.375" customWidth="1"/>
    <col min="6" max="6" width="21.5" customWidth="1"/>
  </cols>
  <sheetData>
    <row r="1" spans="1:6" x14ac:dyDescent="0.25">
      <c r="A1" s="1" t="s">
        <v>191</v>
      </c>
    </row>
    <row r="3" spans="1:6" x14ac:dyDescent="0.25">
      <c r="A3" t="s">
        <v>75</v>
      </c>
      <c r="B3" t="s">
        <v>76</v>
      </c>
      <c r="C3" t="s">
        <v>77</v>
      </c>
      <c r="D3" t="s">
        <v>78</v>
      </c>
      <c r="E3" t="s">
        <v>79</v>
      </c>
      <c r="F3" t="s">
        <v>80</v>
      </c>
    </row>
    <row r="4" spans="1:6" x14ac:dyDescent="0.25">
      <c r="A4" t="s">
        <v>81</v>
      </c>
      <c r="B4">
        <v>7.8479999999999994E-2</v>
      </c>
      <c r="C4">
        <v>8.0229999999999996E-2</v>
      </c>
      <c r="D4">
        <f>C4-B4</f>
        <v>1.7500000000000016E-3</v>
      </c>
      <c r="E4">
        <v>15</v>
      </c>
      <c r="F4" s="2">
        <f>D4/E4</f>
        <v>1.1666666666666677E-4</v>
      </c>
    </row>
    <row r="5" spans="1:6" x14ac:dyDescent="0.25">
      <c r="A5" t="s">
        <v>82</v>
      </c>
      <c r="B5">
        <v>6.4259999999999998E-2</v>
      </c>
      <c r="C5">
        <v>6.6009999999999999E-2</v>
      </c>
      <c r="D5">
        <f t="shared" ref="D5:D24" si="0">C5-B5</f>
        <v>1.7500000000000016E-3</v>
      </c>
      <c r="E5">
        <v>15</v>
      </c>
      <c r="F5" s="2">
        <f t="shared" ref="F5:F24" si="1">D5/E5</f>
        <v>1.1666666666666677E-4</v>
      </c>
    </row>
    <row r="6" spans="1:6" x14ac:dyDescent="0.25">
      <c r="A6" t="s">
        <v>83</v>
      </c>
      <c r="B6">
        <v>5.4179999999999999E-2</v>
      </c>
      <c r="C6">
        <v>5.5849999999999997E-2</v>
      </c>
      <c r="D6">
        <f t="shared" si="0"/>
        <v>1.6699999999999979E-3</v>
      </c>
      <c r="E6">
        <v>15</v>
      </c>
      <c r="F6" s="2">
        <f t="shared" si="1"/>
        <v>1.113333333333332E-4</v>
      </c>
    </row>
    <row r="7" spans="1:6" x14ac:dyDescent="0.25">
      <c r="A7" t="s">
        <v>84</v>
      </c>
      <c r="B7">
        <v>7.2499999999999995E-2</v>
      </c>
      <c r="C7">
        <v>7.4060000000000001E-2</v>
      </c>
      <c r="D7">
        <f t="shared" si="0"/>
        <v>1.5600000000000058E-3</v>
      </c>
      <c r="E7">
        <v>15</v>
      </c>
      <c r="F7" s="2">
        <f t="shared" si="1"/>
        <v>1.0400000000000039E-4</v>
      </c>
    </row>
    <row r="8" spans="1:6" x14ac:dyDescent="0.25">
      <c r="A8" t="s">
        <v>85</v>
      </c>
      <c r="B8">
        <v>6.293E-2</v>
      </c>
      <c r="C8">
        <v>6.4509999999999998E-2</v>
      </c>
      <c r="D8">
        <f t="shared" si="0"/>
        <v>1.5799999999999981E-3</v>
      </c>
      <c r="E8">
        <v>15</v>
      </c>
      <c r="F8" s="2">
        <f t="shared" si="1"/>
        <v>1.053333333333332E-4</v>
      </c>
    </row>
    <row r="9" spans="1:6" x14ac:dyDescent="0.25">
      <c r="A9" t="s">
        <v>86</v>
      </c>
      <c r="B9">
        <v>3.4180000000000002E-2</v>
      </c>
      <c r="C9">
        <v>3.6080000000000001E-2</v>
      </c>
      <c r="D9">
        <f t="shared" si="0"/>
        <v>1.8999999999999989E-3</v>
      </c>
      <c r="E9">
        <v>16</v>
      </c>
      <c r="F9" s="2">
        <f t="shared" si="1"/>
        <v>1.1874999999999993E-4</v>
      </c>
    </row>
    <row r="10" spans="1:6" x14ac:dyDescent="0.25">
      <c r="A10" t="s">
        <v>87</v>
      </c>
      <c r="B10">
        <v>3.6830000000000002E-2</v>
      </c>
      <c r="C10">
        <v>3.9039999999999998E-2</v>
      </c>
      <c r="D10">
        <f t="shared" si="0"/>
        <v>2.2099999999999967E-3</v>
      </c>
      <c r="E10">
        <v>15</v>
      </c>
      <c r="F10" s="2">
        <f t="shared" si="1"/>
        <v>1.4733333333333311E-4</v>
      </c>
    </row>
    <row r="11" spans="1:6" x14ac:dyDescent="0.25">
      <c r="A11" t="s">
        <v>88</v>
      </c>
      <c r="B11">
        <v>3.6549999999999999E-2</v>
      </c>
      <c r="C11">
        <v>3.8080000000000003E-2</v>
      </c>
      <c r="D11">
        <f t="shared" si="0"/>
        <v>1.5300000000000036E-3</v>
      </c>
      <c r="E11">
        <v>15</v>
      </c>
      <c r="F11" s="2">
        <f t="shared" si="1"/>
        <v>1.0200000000000024E-4</v>
      </c>
    </row>
    <row r="12" spans="1:6" x14ac:dyDescent="0.25">
      <c r="A12" t="s">
        <v>89</v>
      </c>
      <c r="B12">
        <v>3.7839999999999999E-2</v>
      </c>
      <c r="C12">
        <v>3.9460000000000002E-2</v>
      </c>
      <c r="D12">
        <f t="shared" si="0"/>
        <v>1.6200000000000034E-3</v>
      </c>
      <c r="E12">
        <v>15</v>
      </c>
      <c r="F12" s="2">
        <f>D12/E12</f>
        <v>1.0800000000000023E-4</v>
      </c>
    </row>
    <row r="13" spans="1:6" x14ac:dyDescent="0.25">
      <c r="A13" t="s">
        <v>177</v>
      </c>
      <c r="B13">
        <v>3.6830000000000002E-2</v>
      </c>
      <c r="C13">
        <v>3.866E-2</v>
      </c>
      <c r="D13">
        <f t="shared" si="0"/>
        <v>1.8299999999999983E-3</v>
      </c>
      <c r="E13">
        <v>15</v>
      </c>
      <c r="F13" s="2">
        <f t="shared" si="1"/>
        <v>1.2199999999999989E-4</v>
      </c>
    </row>
    <row r="14" spans="1:6" x14ac:dyDescent="0.25">
      <c r="A14" t="s">
        <v>178</v>
      </c>
      <c r="B14">
        <v>4.4150000000000002E-2</v>
      </c>
      <c r="C14">
        <v>4.5789999999999997E-2</v>
      </c>
      <c r="D14">
        <f t="shared" si="0"/>
        <v>1.6399999999999956E-3</v>
      </c>
      <c r="E14">
        <v>15</v>
      </c>
      <c r="F14" s="2">
        <f t="shared" si="1"/>
        <v>1.0933333333333304E-4</v>
      </c>
    </row>
    <row r="15" spans="1:6" x14ac:dyDescent="0.25">
      <c r="A15" t="s">
        <v>179</v>
      </c>
      <c r="B15">
        <v>4.4880000000000003E-2</v>
      </c>
      <c r="C15">
        <v>4.6550000000000001E-2</v>
      </c>
      <c r="D15">
        <f t="shared" si="0"/>
        <v>1.6699999999999979E-3</v>
      </c>
      <c r="E15">
        <v>16</v>
      </c>
      <c r="F15" s="2">
        <f t="shared" si="1"/>
        <v>1.0437499999999987E-4</v>
      </c>
    </row>
    <row r="16" spans="1:6" x14ac:dyDescent="0.25">
      <c r="A16" t="s">
        <v>90</v>
      </c>
      <c r="B16">
        <v>3.789E-2</v>
      </c>
      <c r="C16">
        <v>3.9510000000000003E-2</v>
      </c>
      <c r="D16">
        <f t="shared" si="0"/>
        <v>1.6200000000000034E-3</v>
      </c>
      <c r="E16">
        <v>14</v>
      </c>
      <c r="F16" s="2">
        <f t="shared" si="1"/>
        <v>1.1571428571428595E-4</v>
      </c>
    </row>
    <row r="17" spans="1:6" x14ac:dyDescent="0.25">
      <c r="A17" t="s">
        <v>91</v>
      </c>
      <c r="B17">
        <v>3.6839999999999998E-2</v>
      </c>
      <c r="C17">
        <v>3.8219999999999997E-2</v>
      </c>
      <c r="D17">
        <f t="shared" si="0"/>
        <v>1.3799999999999993E-3</v>
      </c>
      <c r="E17">
        <v>15</v>
      </c>
      <c r="F17" s="2">
        <f t="shared" si="1"/>
        <v>9.1999999999999946E-5</v>
      </c>
    </row>
    <row r="18" spans="1:6" x14ac:dyDescent="0.25">
      <c r="A18" t="s">
        <v>92</v>
      </c>
      <c r="B18">
        <v>3.8100000000000002E-2</v>
      </c>
      <c r="C18">
        <v>3.9600000000000003E-2</v>
      </c>
      <c r="D18">
        <f t="shared" si="0"/>
        <v>1.5000000000000013E-3</v>
      </c>
      <c r="E18">
        <v>14</v>
      </c>
      <c r="F18" s="2">
        <f t="shared" si="1"/>
        <v>1.0714285714285723E-4</v>
      </c>
    </row>
    <row r="19" spans="1:6" x14ac:dyDescent="0.25">
      <c r="A19" t="s">
        <v>93</v>
      </c>
      <c r="B19">
        <v>3.755E-2</v>
      </c>
      <c r="C19">
        <v>3.8690000000000002E-2</v>
      </c>
      <c r="D19">
        <f t="shared" si="0"/>
        <v>1.1400000000000021E-3</v>
      </c>
      <c r="E19">
        <v>15</v>
      </c>
      <c r="F19" s="2">
        <f t="shared" si="1"/>
        <v>7.600000000000014E-5</v>
      </c>
    </row>
    <row r="20" spans="1:6" x14ac:dyDescent="0.25">
      <c r="A20" t="s">
        <v>94</v>
      </c>
      <c r="B20">
        <v>3.7269999999999998E-2</v>
      </c>
      <c r="C20">
        <v>3.8960000000000002E-2</v>
      </c>
      <c r="D20">
        <f t="shared" si="0"/>
        <v>1.690000000000004E-3</v>
      </c>
      <c r="E20">
        <v>16</v>
      </c>
      <c r="F20" s="2">
        <f t="shared" si="1"/>
        <v>1.0562500000000025E-4</v>
      </c>
    </row>
    <row r="21" spans="1:6" x14ac:dyDescent="0.25">
      <c r="A21" t="s">
        <v>95</v>
      </c>
      <c r="B21">
        <v>3.4540000000000001E-2</v>
      </c>
      <c r="C21">
        <v>3.5920000000000001E-2</v>
      </c>
      <c r="D21">
        <f t="shared" si="0"/>
        <v>1.3799999999999993E-3</v>
      </c>
      <c r="E21">
        <v>15</v>
      </c>
      <c r="F21" s="2">
        <f t="shared" si="1"/>
        <v>9.1999999999999946E-5</v>
      </c>
    </row>
    <row r="22" spans="1:6" x14ac:dyDescent="0.25">
      <c r="A22" t="s">
        <v>99</v>
      </c>
      <c r="B22">
        <v>3.7100000000000001E-2</v>
      </c>
      <c r="C22">
        <v>3.8620000000000002E-2</v>
      </c>
      <c r="D22">
        <f t="shared" si="0"/>
        <v>1.5200000000000005E-3</v>
      </c>
      <c r="E22">
        <v>15</v>
      </c>
      <c r="F22" s="2">
        <f t="shared" si="1"/>
        <v>1.0133333333333336E-4</v>
      </c>
    </row>
    <row r="23" spans="1:6" x14ac:dyDescent="0.25">
      <c r="A23" t="s">
        <v>100</v>
      </c>
      <c r="B23">
        <v>3.4470000000000001E-2</v>
      </c>
      <c r="C23">
        <v>3.569E-2</v>
      </c>
      <c r="D23">
        <f t="shared" si="0"/>
        <v>1.2199999999999989E-3</v>
      </c>
      <c r="E23">
        <v>16</v>
      </c>
      <c r="F23" s="2">
        <f t="shared" si="1"/>
        <v>7.6249999999999929E-5</v>
      </c>
    </row>
    <row r="24" spans="1:6" x14ac:dyDescent="0.25">
      <c r="A24" t="s">
        <v>101</v>
      </c>
      <c r="B24">
        <v>3.9260000000000003E-2</v>
      </c>
      <c r="C24">
        <v>4.0910000000000002E-2</v>
      </c>
      <c r="D24">
        <f t="shared" si="0"/>
        <v>1.6499999999999987E-3</v>
      </c>
      <c r="E24">
        <v>16</v>
      </c>
      <c r="F24" s="2">
        <f t="shared" si="1"/>
        <v>1.0312499999999992E-4</v>
      </c>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O52"/>
  <sheetViews>
    <sheetView topLeftCell="A26" workbookViewId="0">
      <selection activeCell="P54" sqref="P54"/>
    </sheetView>
  </sheetViews>
  <sheetFormatPr defaultColWidth="11" defaultRowHeight="15.75" x14ac:dyDescent="0.25"/>
  <cols>
    <col min="1" max="1" width="13.375" customWidth="1"/>
    <col min="2" max="2" width="23.5" customWidth="1"/>
    <col min="5" max="5" width="15.125" customWidth="1"/>
  </cols>
  <sheetData>
    <row r="1" spans="1:10" x14ac:dyDescent="0.25">
      <c r="D1" t="s">
        <v>102</v>
      </c>
      <c r="E1">
        <v>21</v>
      </c>
    </row>
    <row r="3" spans="1:10" x14ac:dyDescent="0.25">
      <c r="A3" t="s">
        <v>75</v>
      </c>
      <c r="B3" t="s">
        <v>103</v>
      </c>
      <c r="C3" t="s">
        <v>104</v>
      </c>
      <c r="D3" t="s">
        <v>105</v>
      </c>
      <c r="E3" t="s">
        <v>106</v>
      </c>
    </row>
    <row r="4" spans="1:10" x14ac:dyDescent="0.25">
      <c r="A4" t="s">
        <v>108</v>
      </c>
      <c r="B4">
        <v>2</v>
      </c>
      <c r="D4">
        <v>0</v>
      </c>
      <c r="E4">
        <v>0</v>
      </c>
      <c r="G4">
        <v>0</v>
      </c>
    </row>
    <row r="5" spans="1:10" x14ac:dyDescent="0.25">
      <c r="A5" t="s">
        <v>109</v>
      </c>
      <c r="B5">
        <v>0</v>
      </c>
      <c r="D5">
        <v>0</v>
      </c>
      <c r="E5">
        <v>0</v>
      </c>
      <c r="G5">
        <v>0</v>
      </c>
    </row>
    <row r="6" spans="1:10" x14ac:dyDescent="0.25">
      <c r="A6" t="s">
        <v>81</v>
      </c>
      <c r="B6">
        <v>255</v>
      </c>
      <c r="C6" s="4">
        <f>(B6*391)/(2220000*10.9)*1000/'Mosher Masses 1.0 23'!D4</f>
        <v>2354.5039141369393</v>
      </c>
      <c r="D6" s="5">
        <f>(B6*391)/(2220000*10.9)*1000/'Mosher Masses 1.0 23'!E4</f>
        <v>0.27469212331597653</v>
      </c>
      <c r="E6" s="4">
        <f>AVERAGE(C6:C8)</f>
        <v>2353.6930012785638</v>
      </c>
      <c r="F6" s="20">
        <f>STDEV(C6:C8)/E6</f>
        <v>7.3351185090880849E-3</v>
      </c>
      <c r="G6">
        <v>3</v>
      </c>
      <c r="I6" t="s">
        <v>110</v>
      </c>
      <c r="J6" t="s">
        <v>106</v>
      </c>
    </row>
    <row r="7" spans="1:10" x14ac:dyDescent="0.25">
      <c r="A7" t="s">
        <v>82</v>
      </c>
      <c r="B7">
        <v>253</v>
      </c>
      <c r="C7" s="4">
        <f>(B7*391)/(2220000*10.9)*1000/'Mosher Masses 1.0 23'!D5</f>
        <v>2336.0372167711598</v>
      </c>
      <c r="D7" s="5">
        <f>(B7*391)/(2220000*10.9)*1000/'Mosher Masses 1.0 23'!E5</f>
        <v>0.27253767528996886</v>
      </c>
      <c r="G7">
        <v>3</v>
      </c>
      <c r="I7">
        <v>3</v>
      </c>
    </row>
    <row r="8" spans="1:10" x14ac:dyDescent="0.25">
      <c r="A8" t="s">
        <v>83</v>
      </c>
      <c r="B8">
        <v>245</v>
      </c>
      <c r="C8" s="4">
        <f>(B8*391)/(2220000*10.9)*1000/'Mosher Masses 1.0 23'!D6</f>
        <v>2370.5378729275922</v>
      </c>
      <c r="D8" s="5">
        <f>(B8*391)/(2220000*10.9)*1000/'Mosher Masses 1.0 23'!E6</f>
        <v>0.26391988318593823</v>
      </c>
      <c r="G8">
        <v>3</v>
      </c>
      <c r="I8">
        <v>6</v>
      </c>
    </row>
    <row r="9" spans="1:10" x14ac:dyDescent="0.25">
      <c r="A9" t="s">
        <v>84</v>
      </c>
      <c r="B9">
        <v>261</v>
      </c>
      <c r="C9" s="4">
        <f>(B9*391)/(2220000*10.9)*1000/'Mosher Masses 1.0 23'!D7</f>
        <v>2703.4179557115235</v>
      </c>
      <c r="D9" s="5">
        <f>(B9*391)/(2220000*10.9)*1000/'Mosher Masses 1.0 23'!E7</f>
        <v>0.28115546739399949</v>
      </c>
      <c r="E9" s="4">
        <f>AVERAGE(C9:C11)</f>
        <v>2014.7492459376256</v>
      </c>
      <c r="F9" s="20">
        <f>STDEV(C9:C11)/E9</f>
        <v>0.29926763102458015</v>
      </c>
      <c r="G9">
        <v>6</v>
      </c>
      <c r="I9">
        <v>12</v>
      </c>
    </row>
    <row r="10" spans="1:10" x14ac:dyDescent="0.25">
      <c r="A10" t="s">
        <v>85</v>
      </c>
      <c r="B10">
        <v>172</v>
      </c>
      <c r="C10" s="4">
        <f>(B10*391)/(2220000*10.9)*1000/'Mosher Masses 1.0 23'!D8</f>
        <v>1759.0113630062554</v>
      </c>
      <c r="D10" s="5">
        <f>(B10*391)/(2220000*10.9)*1000/'Mosher Masses 1.0 23'!E8</f>
        <v>0.18528253023665867</v>
      </c>
      <c r="G10">
        <v>6</v>
      </c>
      <c r="I10">
        <v>16</v>
      </c>
    </row>
    <row r="11" spans="1:10" x14ac:dyDescent="0.25">
      <c r="A11" t="s">
        <v>86</v>
      </c>
      <c r="B11">
        <v>186</v>
      </c>
      <c r="C11" s="4">
        <f>(B11*391)/(2220000*10.9)*1000/'Mosher Masses 1.0 23'!D9</f>
        <v>1581.8184190950981</v>
      </c>
      <c r="D11" s="5">
        <f>(B11*391)/(2220000*10.9)*1000/'Mosher Masses 1.0 23'!E9</f>
        <v>0.18784093726754278</v>
      </c>
      <c r="G11">
        <v>6</v>
      </c>
      <c r="I11">
        <v>24</v>
      </c>
    </row>
    <row r="12" spans="1:10" x14ac:dyDescent="0.25">
      <c r="A12" t="s">
        <v>87</v>
      </c>
      <c r="B12">
        <v>377</v>
      </c>
      <c r="C12" s="4">
        <f>(B12*391)/(2220000*10.9)*1000/'Mosher Masses 1.0 23'!D10</f>
        <v>2756.426150921568</v>
      </c>
      <c r="D12" s="5">
        <f>(B12*391)/(2220000*10.9)*1000/'Mosher Masses 1.0 23'!E10</f>
        <v>0.40611345290244377</v>
      </c>
      <c r="E12" s="4">
        <f>AVERAGE(C12:C14)</f>
        <v>3226.0003802647329</v>
      </c>
      <c r="F12" s="20">
        <f>STDEV(C12:C14)/E12</f>
        <v>0.22436268366458689</v>
      </c>
      <c r="G12">
        <v>12</v>
      </c>
      <c r="I12">
        <v>36</v>
      </c>
    </row>
    <row r="13" spans="1:10" x14ac:dyDescent="0.25">
      <c r="A13" t="s">
        <v>88</v>
      </c>
      <c r="B13">
        <v>271</v>
      </c>
      <c r="C13" s="4">
        <f>(B13*391)/(2220000*10.9)*1000/'Mosher Masses 1.0 23'!D11</f>
        <v>2862.0363482748735</v>
      </c>
      <c r="D13" s="5">
        <f>(B13*391)/(2220000*10.9)*1000/'Mosher Masses 1.0 23'!E11</f>
        <v>0.29192770752403779</v>
      </c>
      <c r="G13">
        <v>12</v>
      </c>
    </row>
    <row r="14" spans="1:10" x14ac:dyDescent="0.25">
      <c r="A14" t="s">
        <v>89</v>
      </c>
      <c r="B14">
        <v>407</v>
      </c>
      <c r="C14" s="4">
        <f>(B14*391)/(2220000*10.9)*1000/'Mosher Masses 1.0 23'!D12</f>
        <v>4059.5386415977569</v>
      </c>
      <c r="D14" s="5">
        <f>(B14*391)/(2220000*10.9)*1000/'Mosher Masses 1.0 23'!E12</f>
        <v>0.43843017329255862</v>
      </c>
      <c r="G14">
        <v>12</v>
      </c>
    </row>
    <row r="15" spans="1:10" x14ac:dyDescent="0.25">
      <c r="A15" t="s">
        <v>177</v>
      </c>
      <c r="B15">
        <v>387</v>
      </c>
      <c r="C15" s="4">
        <f>(B15*391)/(2220000*10.9)*1000/'Mosher Masses 1.0 23'!D13</f>
        <v>3417.0958445285446</v>
      </c>
      <c r="D15" s="5">
        <f>(B15*391)/(2220000*10.9)*1000/'Mosher Masses 1.0 23'!E13</f>
        <v>0.41688569303248202</v>
      </c>
      <c r="E15" s="4">
        <f>AVERAGE(C15:C17)</f>
        <v>4244.8416810093404</v>
      </c>
      <c r="F15" s="20">
        <f>STDEV(C15:C17)/E15</f>
        <v>0.18928809348194603</v>
      </c>
      <c r="G15">
        <v>16</v>
      </c>
    </row>
    <row r="16" spans="1:10" x14ac:dyDescent="0.25">
      <c r="A16" t="s">
        <v>178</v>
      </c>
      <c r="B16">
        <v>436</v>
      </c>
      <c r="C16" s="4">
        <f>(B16*391)/(2220000*10.9)*1000/'Mosher Masses 1.0 23'!D14</f>
        <v>4295.7591738079655</v>
      </c>
      <c r="D16" s="5">
        <f>(B16*391)/(2220000*10.9)*1000/'Mosher Masses 1.0 23'!E14</f>
        <v>0.46966966966966966</v>
      </c>
      <c r="G16">
        <v>16</v>
      </c>
    </row>
    <row r="17" spans="1:15" x14ac:dyDescent="0.25">
      <c r="A17" t="s">
        <v>179</v>
      </c>
      <c r="B17">
        <v>519</v>
      </c>
      <c r="C17" s="4">
        <f>(B17*391)/(2220000*10.9)*1000/'Mosher Masses 1.0 23'!D15</f>
        <v>5021.6700246915116</v>
      </c>
      <c r="D17" s="5">
        <f>(B17*391)/(2220000*10.9)*1000/'Mosher Masses 1.0 23'!E15</f>
        <v>0.52413680882717584</v>
      </c>
      <c r="G17">
        <v>16</v>
      </c>
    </row>
    <row r="18" spans="1:15" x14ac:dyDescent="0.25">
      <c r="A18" t="s">
        <v>90</v>
      </c>
      <c r="B18">
        <v>545</v>
      </c>
      <c r="C18" s="4">
        <f>(B18*391)/(2220000*10.9)*1000/'Mosher Masses 1.0 23'!D16</f>
        <v>5435.991547102647</v>
      </c>
      <c r="D18" s="5">
        <f>(B18*391)/(2220000*10.9)*1000/'Mosher Masses 1.0 23'!E16</f>
        <v>0.629021879021879</v>
      </c>
      <c r="E18" s="4">
        <f>AVERAGE(C18:C20)</f>
        <v>5605.3869023627731</v>
      </c>
      <c r="F18" s="20">
        <f>STDEV(C18:C20)/E18</f>
        <v>5.8487612156187412E-2</v>
      </c>
      <c r="G18">
        <v>24</v>
      </c>
    </row>
    <row r="19" spans="1:15" x14ac:dyDescent="0.25">
      <c r="A19" t="s">
        <v>91</v>
      </c>
      <c r="B19">
        <v>511</v>
      </c>
      <c r="C19" s="4">
        <f>(B19*391)/(2220000*10.9)*1000/'Mosher Masses 1.0 23'!D17</f>
        <v>5983.2768548364911</v>
      </c>
      <c r="D19" s="5">
        <f>(B19*391)/(2220000*10.9)*1000/'Mosher Masses 1.0 23'!E17</f>
        <v>0.55046147064495687</v>
      </c>
      <c r="G19">
        <v>24</v>
      </c>
    </row>
    <row r="20" spans="1:15" x14ac:dyDescent="0.25">
      <c r="A20" t="s">
        <v>92</v>
      </c>
      <c r="B20">
        <v>501</v>
      </c>
      <c r="C20" s="4">
        <f>(B20*391)/(2220000*10.9)*1000/'Mosher Masses 1.0 23'!D18</f>
        <v>5396.8923051491811</v>
      </c>
      <c r="D20" s="5">
        <f>(B20*391)/(2220000*10.9)*1000/'Mosher Masses 1.0 23'!E18</f>
        <v>0.57823846126598422</v>
      </c>
      <c r="G20">
        <v>24</v>
      </c>
    </row>
    <row r="21" spans="1:15" x14ac:dyDescent="0.25">
      <c r="A21" t="s">
        <v>93</v>
      </c>
      <c r="B21">
        <v>554</v>
      </c>
      <c r="C21" s="4">
        <f>(B21*391)/(2220000*10.9)*1000/'Mosher Masses 1.0 23'!D19</f>
        <v>7852.3960947910573</v>
      </c>
      <c r="D21" s="5">
        <f>(B21*391)/(2220000*10.9)*1000/'Mosher Masses 1.0 23'!E19</f>
        <v>0.59678210320412151</v>
      </c>
      <c r="E21" s="4">
        <f>AVERAGE(C21:C23)</f>
        <v>8778.3857989629905</v>
      </c>
      <c r="F21" s="20">
        <f>STDEV(C21:C23)/E21</f>
        <v>0.144298480580794</v>
      </c>
      <c r="G21">
        <v>36</v>
      </c>
    </row>
    <row r="22" spans="1:15" x14ac:dyDescent="0.25">
      <c r="A22" t="s">
        <v>94</v>
      </c>
      <c r="B22">
        <v>864</v>
      </c>
      <c r="C22" s="4">
        <f>(B22*391)/(2220000*10.9)*1000/'Mosher Masses 1.0 23'!D20</f>
        <v>8260.8421352246132</v>
      </c>
      <c r="D22" s="5">
        <f>(B22*391)/(2220000*10.9)*1000/'Mosher Masses 1.0 23'!E20</f>
        <v>0.8725514505331019</v>
      </c>
      <c r="G22">
        <v>36</v>
      </c>
    </row>
    <row r="23" spans="1:15" x14ac:dyDescent="0.25">
      <c r="A23" t="s">
        <v>95</v>
      </c>
      <c r="B23">
        <v>873</v>
      </c>
      <c r="C23" s="4">
        <f>(B23*391)/(2220000*10.9)*1000/'Mosher Masses 1.0 23'!D21</f>
        <v>10221.919166873302</v>
      </c>
      <c r="D23" s="5">
        <f>(B23*391)/(2220000*10.9)*1000/'Mosher Masses 1.0 23'!E21</f>
        <v>0.94041656335234325</v>
      </c>
      <c r="G23">
        <v>36</v>
      </c>
    </row>
    <row r="24" spans="1:15" x14ac:dyDescent="0.25">
      <c r="A24" t="s">
        <v>99</v>
      </c>
      <c r="B24">
        <v>0</v>
      </c>
      <c r="C24" s="4">
        <f>(B24*391)/(2220000*10.9)*1000/'Mosher Masses 1.0 23'!D22</f>
        <v>0</v>
      </c>
      <c r="D24" s="5">
        <f>(B24*391)/(2220000*10.9)*1000/'Mosher Masses 1.0 23'!E22</f>
        <v>0</v>
      </c>
      <c r="E24" s="7">
        <f>AVERAGE(C24:C25)</f>
        <v>0</v>
      </c>
      <c r="F24" s="20" t="e">
        <f>STDEV(C24:C26)/E24</f>
        <v>#DIV/0!</v>
      </c>
    </row>
    <row r="25" spans="1:15" x14ac:dyDescent="0.25">
      <c r="A25" t="s">
        <v>100</v>
      </c>
      <c r="B25">
        <v>0</v>
      </c>
      <c r="C25" s="4">
        <f>(B25*391)/(2220000*10.9)*1000/'Mosher Masses 1.0 23'!D23</f>
        <v>0</v>
      </c>
      <c r="D25" s="5">
        <f>(B25*391)/(2220000*10.9)*1000/'Mosher Masses 1.0 23'!E23</f>
        <v>0</v>
      </c>
    </row>
    <row r="26" spans="1:15" x14ac:dyDescent="0.25">
      <c r="A26" t="s">
        <v>101</v>
      </c>
      <c r="B26">
        <v>0</v>
      </c>
      <c r="C26" s="4">
        <f>(B26*391)/(2220000*10.9)*1000/'Mosher Masses 1.0 23'!D24</f>
        <v>0</v>
      </c>
      <c r="D26" s="5">
        <f>(B26*391)/(2220000*10.9)*1000/'Mosher Masses 1.0 23'!E24</f>
        <v>0</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0</v>
      </c>
      <c r="C32">
        <v>0</v>
      </c>
      <c r="D32">
        <v>0</v>
      </c>
      <c r="E32">
        <v>0</v>
      </c>
      <c r="F32">
        <v>3</v>
      </c>
      <c r="G32" s="21"/>
      <c r="I32" t="s">
        <v>102</v>
      </c>
      <c r="J32">
        <v>21</v>
      </c>
      <c r="L32">
        <v>0</v>
      </c>
      <c r="M32">
        <v>0</v>
      </c>
      <c r="N32">
        <v>0</v>
      </c>
      <c r="O32">
        <v>0</v>
      </c>
    </row>
    <row r="33" spans="1:15" x14ac:dyDescent="0.25">
      <c r="A33" t="s">
        <v>123</v>
      </c>
      <c r="B33">
        <v>32</v>
      </c>
      <c r="C33">
        <v>0</v>
      </c>
      <c r="D33">
        <v>1</v>
      </c>
      <c r="E33">
        <v>357</v>
      </c>
      <c r="F33">
        <v>3</v>
      </c>
      <c r="G33" s="21">
        <f t="shared" ref="G33:G38" si="0">(E33)/(SUM(B33+C33+D33+E33+F33))</f>
        <v>0.90839694656488545</v>
      </c>
      <c r="L33">
        <v>0</v>
      </c>
      <c r="M33">
        <v>0</v>
      </c>
      <c r="N33">
        <v>0</v>
      </c>
      <c r="O33">
        <v>0</v>
      </c>
    </row>
    <row r="34" spans="1:15" x14ac:dyDescent="0.25">
      <c r="A34" t="s">
        <v>124</v>
      </c>
      <c r="B34">
        <v>68</v>
      </c>
      <c r="C34">
        <v>4</v>
      </c>
      <c r="D34">
        <v>5</v>
      </c>
      <c r="E34">
        <v>356</v>
      </c>
      <c r="F34">
        <v>1</v>
      </c>
      <c r="G34" s="21">
        <f t="shared" si="0"/>
        <v>0.82027649769585254</v>
      </c>
      <c r="L34">
        <v>0</v>
      </c>
      <c r="M34">
        <v>0</v>
      </c>
      <c r="N34">
        <v>0</v>
      </c>
      <c r="O34">
        <v>0</v>
      </c>
    </row>
    <row r="35" spans="1:15" x14ac:dyDescent="0.25">
      <c r="A35" t="s">
        <v>125</v>
      </c>
      <c r="B35">
        <v>199</v>
      </c>
      <c r="C35">
        <v>15</v>
      </c>
      <c r="D35">
        <v>9</v>
      </c>
      <c r="E35">
        <v>485</v>
      </c>
      <c r="F35">
        <v>0</v>
      </c>
      <c r="G35" s="21">
        <f t="shared" si="0"/>
        <v>0.68502824858757061</v>
      </c>
      <c r="L35">
        <v>3</v>
      </c>
      <c r="M35">
        <v>2355</v>
      </c>
      <c r="N35" s="4">
        <f>M35*0.91</f>
        <v>2143.0500000000002</v>
      </c>
      <c r="O35" s="4">
        <f>M35-N35</f>
        <v>211.94999999999982</v>
      </c>
    </row>
    <row r="36" spans="1:15" x14ac:dyDescent="0.25">
      <c r="A36" t="s">
        <v>180</v>
      </c>
      <c r="B36">
        <v>234</v>
      </c>
      <c r="C36">
        <v>12</v>
      </c>
      <c r="D36">
        <v>16</v>
      </c>
      <c r="E36">
        <v>447</v>
      </c>
      <c r="F36">
        <v>3</v>
      </c>
      <c r="G36" s="21">
        <f t="shared" si="0"/>
        <v>0.6278089887640449</v>
      </c>
      <c r="L36">
        <v>3</v>
      </c>
      <c r="M36">
        <v>2336</v>
      </c>
      <c r="N36" s="4">
        <f t="shared" ref="N36:N37" si="1">M36*0.91</f>
        <v>2125.7600000000002</v>
      </c>
      <c r="O36" s="4">
        <f t="shared" ref="O36:O52" si="2">M36-N36</f>
        <v>210.23999999999978</v>
      </c>
    </row>
    <row r="37" spans="1:15" x14ac:dyDescent="0.25">
      <c r="A37" t="s">
        <v>126</v>
      </c>
      <c r="B37">
        <v>578</v>
      </c>
      <c r="C37">
        <v>42</v>
      </c>
      <c r="D37">
        <v>39</v>
      </c>
      <c r="E37">
        <v>651</v>
      </c>
      <c r="F37">
        <v>2</v>
      </c>
      <c r="G37" s="21">
        <f t="shared" si="0"/>
        <v>0.49618902439024393</v>
      </c>
      <c r="L37">
        <v>3</v>
      </c>
      <c r="M37">
        <v>2371</v>
      </c>
      <c r="N37" s="4">
        <f t="shared" si="1"/>
        <v>2157.61</v>
      </c>
      <c r="O37" s="4">
        <f t="shared" si="2"/>
        <v>213.38999999999987</v>
      </c>
    </row>
    <row r="38" spans="1:15" x14ac:dyDescent="0.25">
      <c r="A38" t="s">
        <v>127</v>
      </c>
      <c r="B38">
        <v>1046</v>
      </c>
      <c r="C38">
        <v>90</v>
      </c>
      <c r="D38">
        <v>56</v>
      </c>
      <c r="E38">
        <v>636</v>
      </c>
      <c r="F38">
        <v>1</v>
      </c>
      <c r="G38" s="21">
        <f t="shared" si="0"/>
        <v>0.34773100054674688</v>
      </c>
      <c r="L38">
        <v>6</v>
      </c>
      <c r="M38">
        <v>2703</v>
      </c>
      <c r="N38" s="4">
        <f>M38*0.82</f>
        <v>2216.46</v>
      </c>
      <c r="O38" s="4">
        <f t="shared" si="2"/>
        <v>486.53999999999996</v>
      </c>
    </row>
    <row r="39" spans="1:15" x14ac:dyDescent="0.25">
      <c r="L39">
        <v>6</v>
      </c>
      <c r="M39">
        <v>1759</v>
      </c>
      <c r="N39" s="4">
        <f t="shared" ref="N39:N40" si="3">M39*0.82</f>
        <v>1442.3799999999999</v>
      </c>
      <c r="O39" s="4">
        <f t="shared" si="2"/>
        <v>316.62000000000012</v>
      </c>
    </row>
    <row r="40" spans="1:15" x14ac:dyDescent="0.25">
      <c r="L40">
        <v>6</v>
      </c>
      <c r="M40">
        <v>1582</v>
      </c>
      <c r="N40" s="4">
        <f t="shared" si="3"/>
        <v>1297.24</v>
      </c>
      <c r="O40" s="4">
        <f t="shared" si="2"/>
        <v>284.76</v>
      </c>
    </row>
    <row r="41" spans="1:15" x14ac:dyDescent="0.25">
      <c r="L41">
        <v>12</v>
      </c>
      <c r="M41">
        <v>2756</v>
      </c>
      <c r="N41" s="4">
        <f>M41*0.69</f>
        <v>1901.6399999999999</v>
      </c>
      <c r="O41" s="4">
        <f t="shared" si="2"/>
        <v>854.36000000000013</v>
      </c>
    </row>
    <row r="42" spans="1:15" x14ac:dyDescent="0.25">
      <c r="L42">
        <v>12</v>
      </c>
      <c r="M42">
        <v>2862</v>
      </c>
      <c r="N42" s="4">
        <f t="shared" ref="N42:N43" si="4">M42*0.69</f>
        <v>1974.7799999999997</v>
      </c>
      <c r="O42" s="4">
        <f t="shared" si="2"/>
        <v>887.22000000000025</v>
      </c>
    </row>
    <row r="43" spans="1:15" x14ac:dyDescent="0.25">
      <c r="L43">
        <v>12</v>
      </c>
      <c r="M43">
        <v>4060</v>
      </c>
      <c r="N43" s="4">
        <f t="shared" si="4"/>
        <v>2801.3999999999996</v>
      </c>
      <c r="O43" s="4">
        <f t="shared" si="2"/>
        <v>1258.6000000000004</v>
      </c>
    </row>
    <row r="44" spans="1:15" x14ac:dyDescent="0.25">
      <c r="L44">
        <v>16</v>
      </c>
      <c r="M44">
        <v>3417</v>
      </c>
      <c r="N44" s="4">
        <f>M44*0.63</f>
        <v>2152.71</v>
      </c>
      <c r="O44" s="4">
        <f t="shared" si="2"/>
        <v>1264.29</v>
      </c>
    </row>
    <row r="45" spans="1:15" x14ac:dyDescent="0.25">
      <c r="L45">
        <v>16</v>
      </c>
      <c r="M45">
        <v>4296</v>
      </c>
      <c r="N45" s="4">
        <f t="shared" ref="N45:N46" si="5">M45*0.63</f>
        <v>2706.48</v>
      </c>
      <c r="O45" s="4">
        <f t="shared" si="2"/>
        <v>1589.52</v>
      </c>
    </row>
    <row r="46" spans="1:15" x14ac:dyDescent="0.25">
      <c r="L46">
        <v>16</v>
      </c>
      <c r="M46">
        <v>5022</v>
      </c>
      <c r="N46" s="4">
        <f t="shared" si="5"/>
        <v>3163.86</v>
      </c>
      <c r="O46" s="4">
        <f t="shared" si="2"/>
        <v>1858.1399999999999</v>
      </c>
    </row>
    <row r="47" spans="1:15" x14ac:dyDescent="0.25">
      <c r="L47">
        <v>24</v>
      </c>
      <c r="M47">
        <v>5436</v>
      </c>
      <c r="N47" s="4">
        <f>M47*0.5</f>
        <v>2718</v>
      </c>
      <c r="O47" s="4">
        <f t="shared" si="2"/>
        <v>2718</v>
      </c>
    </row>
    <row r="48" spans="1:15" x14ac:dyDescent="0.25">
      <c r="L48">
        <v>24</v>
      </c>
      <c r="M48">
        <v>5983</v>
      </c>
      <c r="N48" s="4">
        <f t="shared" ref="N48:N49" si="6">M48*0.5</f>
        <v>2991.5</v>
      </c>
      <c r="O48" s="4">
        <f t="shared" si="2"/>
        <v>2991.5</v>
      </c>
    </row>
    <row r="49" spans="12:15" x14ac:dyDescent="0.25">
      <c r="L49">
        <v>24</v>
      </c>
      <c r="M49">
        <v>5397</v>
      </c>
      <c r="N49" s="4">
        <f t="shared" si="6"/>
        <v>2698.5</v>
      </c>
      <c r="O49" s="4">
        <f t="shared" si="2"/>
        <v>2698.5</v>
      </c>
    </row>
    <row r="50" spans="12:15" x14ac:dyDescent="0.25">
      <c r="L50">
        <v>36</v>
      </c>
      <c r="M50">
        <v>7852</v>
      </c>
      <c r="N50" s="4">
        <f>M50*0.35</f>
        <v>2748.2</v>
      </c>
      <c r="O50" s="4">
        <f t="shared" si="2"/>
        <v>5103.8</v>
      </c>
    </row>
    <row r="51" spans="12:15" x14ac:dyDescent="0.25">
      <c r="L51">
        <v>36</v>
      </c>
      <c r="M51">
        <v>8261</v>
      </c>
      <c r="N51" s="4">
        <f t="shared" ref="N51:N52" si="7">M51*0.35</f>
        <v>2891.35</v>
      </c>
      <c r="O51" s="4">
        <f t="shared" si="2"/>
        <v>5369.65</v>
      </c>
    </row>
    <row r="52" spans="12:15" x14ac:dyDescent="0.25">
      <c r="L52">
        <v>36</v>
      </c>
      <c r="M52">
        <v>10222</v>
      </c>
      <c r="N52" s="4">
        <f t="shared" si="7"/>
        <v>3577.7</v>
      </c>
      <c r="O52" s="4">
        <f t="shared" si="2"/>
        <v>6644.3</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46"/>
  <sheetViews>
    <sheetView topLeftCell="A7" workbookViewId="0">
      <selection activeCell="C32" sqref="C32"/>
    </sheetView>
  </sheetViews>
  <sheetFormatPr defaultColWidth="11" defaultRowHeight="15.75" x14ac:dyDescent="0.25"/>
  <cols>
    <col min="2" max="2" width="23" customWidth="1"/>
    <col min="6" max="6" width="12.5" customWidth="1"/>
  </cols>
  <sheetData>
    <row r="1" spans="1:9" x14ac:dyDescent="0.25">
      <c r="C1" t="s">
        <v>102</v>
      </c>
      <c r="D1">
        <v>21</v>
      </c>
    </row>
    <row r="3" spans="1:9" x14ac:dyDescent="0.25">
      <c r="A3" t="s">
        <v>75</v>
      </c>
      <c r="B3" t="s">
        <v>129</v>
      </c>
      <c r="C3" t="s">
        <v>130</v>
      </c>
      <c r="D3" t="s">
        <v>131</v>
      </c>
      <c r="E3" t="s">
        <v>132</v>
      </c>
      <c r="F3" t="s">
        <v>133</v>
      </c>
      <c r="H3" t="s">
        <v>134</v>
      </c>
    </row>
    <row r="4" spans="1:9" x14ac:dyDescent="0.25">
      <c r="A4" t="s">
        <v>136</v>
      </c>
      <c r="B4">
        <v>0</v>
      </c>
      <c r="C4">
        <f>B4/10</f>
        <v>0</v>
      </c>
      <c r="D4" s="4">
        <f>(C4*391*1000)/(2220000*10.9)</f>
        <v>0</v>
      </c>
      <c r="E4" s="4"/>
    </row>
    <row r="5" spans="1:9" x14ac:dyDescent="0.25">
      <c r="A5" t="s">
        <v>137</v>
      </c>
      <c r="B5">
        <v>80</v>
      </c>
      <c r="C5">
        <f>B5/2000</f>
        <v>0.04</v>
      </c>
      <c r="D5" s="2">
        <f>(C5*391*1000)/(2220000*10.9)</f>
        <v>6.4633440780229772E-4</v>
      </c>
      <c r="E5" s="4">
        <f>D5*1000*1000</f>
        <v>646.33440780229762</v>
      </c>
    </row>
    <row r="6" spans="1:9" x14ac:dyDescent="0.25">
      <c r="A6" t="s">
        <v>138</v>
      </c>
      <c r="B6">
        <v>61</v>
      </c>
      <c r="C6">
        <f t="shared" ref="C6:C31" si="0">B6/2000</f>
        <v>3.0499999999999999E-2</v>
      </c>
      <c r="D6" s="2">
        <f t="shared" ref="D6:D31" si="1">(C6*391*1000)/(2220000*10.9)</f>
        <v>4.92829985949252E-4</v>
      </c>
      <c r="E6" s="4">
        <f t="shared" ref="E6:E31" si="2">D6*1000*1000</f>
        <v>492.82998594925198</v>
      </c>
    </row>
    <row r="7" spans="1:9" x14ac:dyDescent="0.25">
      <c r="A7" t="s">
        <v>139</v>
      </c>
      <c r="B7">
        <v>72</v>
      </c>
      <c r="C7">
        <f t="shared" si="0"/>
        <v>3.5999999999999997E-2</v>
      </c>
      <c r="D7" s="2">
        <f t="shared" si="1"/>
        <v>5.8170096702206788E-4</v>
      </c>
      <c r="E7" s="4">
        <f t="shared" si="2"/>
        <v>581.70096702206786</v>
      </c>
    </row>
    <row r="8" spans="1:9" x14ac:dyDescent="0.25">
      <c r="A8" t="s">
        <v>181</v>
      </c>
      <c r="B8">
        <v>57</v>
      </c>
      <c r="C8">
        <f t="shared" si="0"/>
        <v>2.8500000000000001E-2</v>
      </c>
      <c r="D8" s="2">
        <f t="shared" si="1"/>
        <v>4.6051326555913714E-4</v>
      </c>
      <c r="E8" s="4">
        <f t="shared" si="2"/>
        <v>460.51326555913715</v>
      </c>
    </row>
    <row r="9" spans="1:9" x14ac:dyDescent="0.25">
      <c r="A9" t="s">
        <v>140</v>
      </c>
      <c r="B9">
        <v>66</v>
      </c>
      <c r="C9">
        <f t="shared" si="0"/>
        <v>3.3000000000000002E-2</v>
      </c>
      <c r="D9" s="2">
        <f t="shared" si="1"/>
        <v>5.3322588643689558E-4</v>
      </c>
      <c r="E9" s="4">
        <f t="shared" si="2"/>
        <v>533.22588643689562</v>
      </c>
    </row>
    <row r="10" spans="1:9" x14ac:dyDescent="0.25">
      <c r="A10" t="s">
        <v>141</v>
      </c>
      <c r="B10">
        <v>56</v>
      </c>
      <c r="C10">
        <f t="shared" si="0"/>
        <v>2.8000000000000001E-2</v>
      </c>
      <c r="D10" s="2">
        <f t="shared" si="1"/>
        <v>4.5243408546160842E-4</v>
      </c>
      <c r="E10" s="4">
        <f t="shared" si="2"/>
        <v>452.43408546160839</v>
      </c>
    </row>
    <row r="11" spans="1:9" x14ac:dyDescent="0.25">
      <c r="A11" t="s">
        <v>143</v>
      </c>
      <c r="B11">
        <v>70</v>
      </c>
      <c r="C11">
        <f t="shared" si="0"/>
        <v>3.5000000000000003E-2</v>
      </c>
      <c r="D11" s="2">
        <f t="shared" si="1"/>
        <v>5.6554260682701045E-4</v>
      </c>
      <c r="E11" s="4">
        <f t="shared" si="2"/>
        <v>565.54260682701045</v>
      </c>
      <c r="F11" s="4">
        <f>AVERAGE(E11:E13)</f>
        <v>511.68140617681905</v>
      </c>
      <c r="G11" s="20">
        <f>STDEV(E11:E13)/F11</f>
        <v>9.2517872796036488E-2</v>
      </c>
      <c r="H11" s="13">
        <f>E11/1000</f>
        <v>0.56554260682701041</v>
      </c>
      <c r="I11">
        <v>3</v>
      </c>
    </row>
    <row r="12" spans="1:9" x14ac:dyDescent="0.25">
      <c r="A12" t="s">
        <v>144</v>
      </c>
      <c r="B12">
        <v>61</v>
      </c>
      <c r="C12">
        <f t="shared" si="0"/>
        <v>3.0499999999999999E-2</v>
      </c>
      <c r="D12" s="2">
        <f t="shared" si="1"/>
        <v>4.92829985949252E-4</v>
      </c>
      <c r="E12" s="4">
        <f t="shared" si="2"/>
        <v>492.82998594925198</v>
      </c>
      <c r="H12" s="13">
        <f t="shared" ref="H12:H28" si="3">E12/1000</f>
        <v>0.49282998594925198</v>
      </c>
      <c r="I12">
        <v>3</v>
      </c>
    </row>
    <row r="13" spans="1:9" x14ac:dyDescent="0.25">
      <c r="A13" t="s">
        <v>145</v>
      </c>
      <c r="B13">
        <v>59</v>
      </c>
      <c r="C13">
        <f t="shared" si="0"/>
        <v>2.9499999999999998E-2</v>
      </c>
      <c r="D13" s="2">
        <f t="shared" si="1"/>
        <v>4.7667162575419457E-4</v>
      </c>
      <c r="E13" s="4">
        <f t="shared" si="2"/>
        <v>476.67162575419457</v>
      </c>
      <c r="H13" s="13">
        <f t="shared" si="3"/>
        <v>0.47667162575419458</v>
      </c>
      <c r="I13">
        <v>3</v>
      </c>
    </row>
    <row r="14" spans="1:9" x14ac:dyDescent="0.25">
      <c r="A14" t="s">
        <v>146</v>
      </c>
      <c r="B14">
        <v>40</v>
      </c>
      <c r="C14">
        <f t="shared" si="0"/>
        <v>0.02</v>
      </c>
      <c r="D14" s="2">
        <f t="shared" si="1"/>
        <v>3.2316720390114886E-4</v>
      </c>
      <c r="E14" s="4">
        <f t="shared" si="2"/>
        <v>323.16720390114881</v>
      </c>
      <c r="F14" s="4">
        <f>AVERAGE(E14:E16)</f>
        <v>342.01862412871583</v>
      </c>
      <c r="G14" s="20">
        <f>STDEV(E14:E16)/F14</f>
        <v>5.9447515238352337E-2</v>
      </c>
      <c r="H14" s="13">
        <f t="shared" si="3"/>
        <v>0.32316720390114884</v>
      </c>
      <c r="I14">
        <v>6</v>
      </c>
    </row>
    <row r="15" spans="1:9" x14ac:dyDescent="0.25">
      <c r="A15" t="s">
        <v>147</v>
      </c>
      <c r="B15">
        <v>42</v>
      </c>
      <c r="C15">
        <f t="shared" si="0"/>
        <v>2.1000000000000001E-2</v>
      </c>
      <c r="D15" s="2">
        <f t="shared" si="1"/>
        <v>3.3932556409620629E-4</v>
      </c>
      <c r="E15" s="4">
        <f t="shared" si="2"/>
        <v>339.32556409620628</v>
      </c>
      <c r="H15" s="13">
        <f t="shared" si="3"/>
        <v>0.33932556409620629</v>
      </c>
      <c r="I15">
        <v>6</v>
      </c>
    </row>
    <row r="16" spans="1:9" x14ac:dyDescent="0.25">
      <c r="A16" t="s">
        <v>148</v>
      </c>
      <c r="B16">
        <v>45</v>
      </c>
      <c r="C16">
        <f t="shared" si="0"/>
        <v>2.2499999999999999E-2</v>
      </c>
      <c r="D16" s="2">
        <f t="shared" si="1"/>
        <v>3.6356310438879244E-4</v>
      </c>
      <c r="E16" s="4">
        <f t="shared" si="2"/>
        <v>363.5631043887924</v>
      </c>
      <c r="H16" s="13">
        <f t="shared" si="3"/>
        <v>0.36356310438879241</v>
      </c>
      <c r="I16">
        <v>6</v>
      </c>
    </row>
    <row r="17" spans="1:9" x14ac:dyDescent="0.25">
      <c r="A17" t="s">
        <v>149</v>
      </c>
      <c r="B17">
        <v>46</v>
      </c>
      <c r="C17">
        <f t="shared" si="0"/>
        <v>2.3E-2</v>
      </c>
      <c r="D17" s="2">
        <f t="shared" si="1"/>
        <v>3.7164228448632121E-4</v>
      </c>
      <c r="E17" s="4">
        <f t="shared" si="2"/>
        <v>371.64228448632122</v>
      </c>
      <c r="F17" s="4">
        <f>AVERAGE(E17:E19)</f>
        <v>406.6520649089457</v>
      </c>
      <c r="G17" s="20">
        <f>STDEV(E17:E19)/F17</f>
        <v>0.24033440147846422</v>
      </c>
      <c r="H17" s="13">
        <f t="shared" si="3"/>
        <v>0.37164228448632119</v>
      </c>
      <c r="I17">
        <v>12</v>
      </c>
    </row>
    <row r="18" spans="1:9" x14ac:dyDescent="0.25">
      <c r="A18" t="s">
        <v>150</v>
      </c>
      <c r="B18">
        <v>41</v>
      </c>
      <c r="C18">
        <f t="shared" si="0"/>
        <v>2.0500000000000001E-2</v>
      </c>
      <c r="D18" s="2">
        <f t="shared" si="1"/>
        <v>3.3124638399867763E-4</v>
      </c>
      <c r="E18" s="4">
        <f t="shared" si="2"/>
        <v>331.24638399867763</v>
      </c>
      <c r="H18" s="13">
        <f t="shared" si="3"/>
        <v>0.33124638399867762</v>
      </c>
      <c r="I18">
        <v>12</v>
      </c>
    </row>
    <row r="19" spans="1:9" x14ac:dyDescent="0.25">
      <c r="A19" t="s">
        <v>151</v>
      </c>
      <c r="B19">
        <v>64</v>
      </c>
      <c r="C19">
        <f t="shared" si="0"/>
        <v>3.2000000000000001E-2</v>
      </c>
      <c r="D19" s="2">
        <f t="shared" si="1"/>
        <v>5.1706752624183815E-4</v>
      </c>
      <c r="E19" s="4">
        <f t="shared" si="2"/>
        <v>517.06752624183821</v>
      </c>
      <c r="H19" s="13">
        <f t="shared" si="3"/>
        <v>0.51706752624183816</v>
      </c>
      <c r="I19">
        <v>12</v>
      </c>
    </row>
    <row r="20" spans="1:9" x14ac:dyDescent="0.25">
      <c r="A20" t="s">
        <v>182</v>
      </c>
      <c r="B20">
        <v>47</v>
      </c>
      <c r="C20">
        <f t="shared" si="0"/>
        <v>2.35E-2</v>
      </c>
      <c r="D20" s="2">
        <f t="shared" si="1"/>
        <v>3.7972146458384993E-4</v>
      </c>
      <c r="E20" s="4">
        <f t="shared" si="2"/>
        <v>379.72146458384992</v>
      </c>
      <c r="F20" s="4">
        <f>AVERAGE(E20:E22)</f>
        <v>339.32556409620628</v>
      </c>
      <c r="G20" s="20">
        <f>STDEV(E20:E22)/F20</f>
        <v>0.22712838128974919</v>
      </c>
      <c r="H20" s="13">
        <f t="shared" si="3"/>
        <v>0.37972146458384992</v>
      </c>
      <c r="I20">
        <v>16</v>
      </c>
    </row>
    <row r="21" spans="1:9" x14ac:dyDescent="0.25">
      <c r="A21" t="s">
        <v>183</v>
      </c>
      <c r="B21">
        <v>31</v>
      </c>
      <c r="C21">
        <f t="shared" si="0"/>
        <v>1.55E-2</v>
      </c>
      <c r="D21" s="2">
        <f t="shared" si="1"/>
        <v>2.5045458302339036E-4</v>
      </c>
      <c r="E21" s="4">
        <f t="shared" si="2"/>
        <v>250.45458302339034</v>
      </c>
      <c r="H21" s="13">
        <f t="shared" si="3"/>
        <v>0.25045458302339035</v>
      </c>
      <c r="I21">
        <v>16</v>
      </c>
    </row>
    <row r="22" spans="1:9" x14ac:dyDescent="0.25">
      <c r="A22" t="s">
        <v>184</v>
      </c>
      <c r="B22">
        <v>48</v>
      </c>
      <c r="C22">
        <f t="shared" si="0"/>
        <v>2.4E-2</v>
      </c>
      <c r="D22" s="2">
        <f t="shared" si="1"/>
        <v>3.8780064468137864E-4</v>
      </c>
      <c r="E22" s="4">
        <f t="shared" si="2"/>
        <v>387.80064468137863</v>
      </c>
      <c r="H22" s="13">
        <f t="shared" si="3"/>
        <v>0.38780064468137865</v>
      </c>
      <c r="I22">
        <v>16</v>
      </c>
    </row>
    <row r="23" spans="1:9" x14ac:dyDescent="0.25">
      <c r="A23" t="s">
        <v>152</v>
      </c>
      <c r="B23">
        <v>40</v>
      </c>
      <c r="C23">
        <f t="shared" si="0"/>
        <v>0.02</v>
      </c>
      <c r="D23" s="2">
        <f t="shared" si="1"/>
        <v>3.2316720390114886E-4</v>
      </c>
      <c r="E23" s="4">
        <f t="shared" si="2"/>
        <v>323.16720390114881</v>
      </c>
      <c r="F23" s="4">
        <f>AVERAGE(E23:E25)</f>
        <v>377.02840455134032</v>
      </c>
      <c r="G23" s="20">
        <f>STDEV(E23:E25)/F23</f>
        <v>0.13093073414159601</v>
      </c>
      <c r="H23" s="13">
        <f t="shared" si="3"/>
        <v>0.32316720390114884</v>
      </c>
      <c r="I23">
        <v>24</v>
      </c>
    </row>
    <row r="24" spans="1:9" x14ac:dyDescent="0.25">
      <c r="A24" t="s">
        <v>153</v>
      </c>
      <c r="B24">
        <v>52</v>
      </c>
      <c r="C24">
        <f t="shared" si="0"/>
        <v>2.5999999999999999E-2</v>
      </c>
      <c r="D24" s="2">
        <f t="shared" si="1"/>
        <v>4.2011736507149351E-4</v>
      </c>
      <c r="E24" s="4">
        <f t="shared" si="2"/>
        <v>420.11736507149351</v>
      </c>
      <c r="H24" s="13">
        <f t="shared" si="3"/>
        <v>0.4201173650714935</v>
      </c>
      <c r="I24">
        <v>24</v>
      </c>
    </row>
    <row r="25" spans="1:9" x14ac:dyDescent="0.25">
      <c r="A25" t="s">
        <v>154</v>
      </c>
      <c r="B25">
        <v>48</v>
      </c>
      <c r="C25">
        <f t="shared" si="0"/>
        <v>2.4E-2</v>
      </c>
      <c r="D25" s="2">
        <f t="shared" si="1"/>
        <v>3.8780064468137864E-4</v>
      </c>
      <c r="E25" s="4">
        <f t="shared" si="2"/>
        <v>387.80064468137863</v>
      </c>
      <c r="H25" s="13">
        <f t="shared" si="3"/>
        <v>0.38780064468137865</v>
      </c>
      <c r="I25">
        <v>24</v>
      </c>
    </row>
    <row r="26" spans="1:9" x14ac:dyDescent="0.25">
      <c r="A26" t="s">
        <v>155</v>
      </c>
      <c r="B26">
        <v>48</v>
      </c>
      <c r="C26">
        <f t="shared" si="0"/>
        <v>2.4E-2</v>
      </c>
      <c r="D26" s="2">
        <f t="shared" si="1"/>
        <v>3.8780064468137864E-4</v>
      </c>
      <c r="E26" s="4">
        <f t="shared" si="2"/>
        <v>387.80064468137863</v>
      </c>
      <c r="F26" s="4">
        <f>AVERAGE(E26:E28)</f>
        <v>422.81042510400312</v>
      </c>
      <c r="G26" s="20">
        <f>STDEV(E26:E28)/F26</f>
        <v>0.16025153662941474</v>
      </c>
      <c r="H26" s="13">
        <f t="shared" si="3"/>
        <v>0.38780064468137865</v>
      </c>
      <c r="I26">
        <v>36</v>
      </c>
    </row>
    <row r="27" spans="1:9" x14ac:dyDescent="0.25">
      <c r="A27" t="s">
        <v>156</v>
      </c>
      <c r="B27">
        <v>47</v>
      </c>
      <c r="C27">
        <f t="shared" si="0"/>
        <v>2.35E-2</v>
      </c>
      <c r="D27" s="2">
        <f t="shared" si="1"/>
        <v>3.7972146458384993E-4</v>
      </c>
      <c r="E27" s="4">
        <f t="shared" si="2"/>
        <v>379.72146458384992</v>
      </c>
      <c r="H27" s="13">
        <f t="shared" si="3"/>
        <v>0.37972146458384992</v>
      </c>
      <c r="I27">
        <v>36</v>
      </c>
    </row>
    <row r="28" spans="1:9" x14ac:dyDescent="0.25">
      <c r="A28" t="s">
        <v>157</v>
      </c>
      <c r="B28">
        <v>62</v>
      </c>
      <c r="C28">
        <f t="shared" si="0"/>
        <v>3.1E-2</v>
      </c>
      <c r="D28" s="2">
        <f t="shared" si="1"/>
        <v>5.0090916604678072E-4</v>
      </c>
      <c r="E28" s="4">
        <f t="shared" si="2"/>
        <v>500.90916604678068</v>
      </c>
      <c r="H28" s="13">
        <f t="shared" si="3"/>
        <v>0.50090916604678071</v>
      </c>
      <c r="I28">
        <v>36</v>
      </c>
    </row>
    <row r="29" spans="1:9" x14ac:dyDescent="0.25">
      <c r="A29" t="s">
        <v>99</v>
      </c>
      <c r="B29">
        <v>2</v>
      </c>
      <c r="C29">
        <f t="shared" si="0"/>
        <v>1E-3</v>
      </c>
      <c r="D29" s="2">
        <f t="shared" si="1"/>
        <v>1.6158360195057442E-5</v>
      </c>
      <c r="E29" s="4">
        <f t="shared" si="2"/>
        <v>16.158360195057444</v>
      </c>
      <c r="F29" s="4">
        <f>AVERAGE(E29:E31)</f>
        <v>5.3861200650191483</v>
      </c>
    </row>
    <row r="30" spans="1:9" x14ac:dyDescent="0.25">
      <c r="A30" t="s">
        <v>100</v>
      </c>
      <c r="B30">
        <v>0</v>
      </c>
      <c r="C30">
        <f t="shared" si="0"/>
        <v>0</v>
      </c>
      <c r="D30" s="2">
        <f t="shared" si="1"/>
        <v>0</v>
      </c>
      <c r="E30" s="4">
        <f t="shared" si="2"/>
        <v>0</v>
      </c>
    </row>
    <row r="31" spans="1:9" x14ac:dyDescent="0.25">
      <c r="A31" t="s">
        <v>101</v>
      </c>
      <c r="B31">
        <v>0</v>
      </c>
      <c r="C31">
        <f t="shared" si="0"/>
        <v>0</v>
      </c>
      <c r="D31" s="2">
        <f t="shared" si="1"/>
        <v>0</v>
      </c>
      <c r="E31" s="4">
        <f t="shared" si="2"/>
        <v>0</v>
      </c>
    </row>
    <row r="32" spans="1:9" x14ac:dyDescent="0.25">
      <c r="D32" s="2"/>
      <c r="E32" s="4"/>
    </row>
    <row r="33" spans="1:5" x14ac:dyDescent="0.25">
      <c r="D33" s="2"/>
      <c r="E33" s="4"/>
    </row>
    <row r="34" spans="1:5" x14ac:dyDescent="0.25">
      <c r="A34" s="14" t="s">
        <v>164</v>
      </c>
      <c r="B34" s="14">
        <f t="array" ref="B34:C38">LINEST(E11:E28,I11:I28,TRUE,TRUE)</f>
        <v>-0.83614928674623878</v>
      </c>
      <c r="C34" s="15">
        <v>413.43716163006928</v>
      </c>
      <c r="D34" s="16" t="s">
        <v>165</v>
      </c>
      <c r="E34" s="17"/>
    </row>
    <row r="35" spans="1:5" x14ac:dyDescent="0.25">
      <c r="A35" s="14" t="s">
        <v>166</v>
      </c>
      <c r="B35" s="14">
        <v>1.7541505850310255</v>
      </c>
      <c r="C35" s="15">
        <v>34.471030313131983</v>
      </c>
      <c r="D35" s="16" t="s">
        <v>166</v>
      </c>
      <c r="E35" s="17"/>
    </row>
    <row r="36" spans="1:5" x14ac:dyDescent="0.25">
      <c r="A36" s="14" t="s">
        <v>167</v>
      </c>
      <c r="B36" s="14">
        <v>1.4001996187001894E-2</v>
      </c>
      <c r="C36" s="15">
        <v>83.141926629758657</v>
      </c>
      <c r="D36" s="16" t="s">
        <v>168</v>
      </c>
      <c r="E36" s="17"/>
    </row>
    <row r="37" spans="1:5" x14ac:dyDescent="0.25">
      <c r="A37" s="14" t="s">
        <v>169</v>
      </c>
      <c r="B37" s="14">
        <v>0.22721337987061446</v>
      </c>
      <c r="C37" s="15">
        <v>16</v>
      </c>
      <c r="D37" s="16" t="s">
        <v>170</v>
      </c>
      <c r="E37" s="17"/>
    </row>
    <row r="38" spans="1:5" x14ac:dyDescent="0.25">
      <c r="A38" s="14" t="s">
        <v>171</v>
      </c>
      <c r="B38" s="14">
        <v>1570.6306571800233</v>
      </c>
      <c r="C38" s="15">
        <v>110601.27941933075</v>
      </c>
      <c r="D38" s="16" t="s">
        <v>172</v>
      </c>
      <c r="E38" s="17"/>
    </row>
    <row r="39" spans="1:5" x14ac:dyDescent="0.25">
      <c r="D39" s="2"/>
      <c r="E39" s="4"/>
    </row>
    <row r="40" spans="1:5" x14ac:dyDescent="0.25">
      <c r="D40" s="2"/>
      <c r="E40" s="4"/>
    </row>
    <row r="41" spans="1:5" x14ac:dyDescent="0.25">
      <c r="A41" s="14" t="s">
        <v>173</v>
      </c>
      <c r="B41" s="14">
        <f>B34/B35</f>
        <v>-0.47666904647838421</v>
      </c>
      <c r="D41" s="2"/>
      <c r="E41" s="4"/>
    </row>
    <row r="42" spans="1:5" x14ac:dyDescent="0.25">
      <c r="A42" s="14" t="s">
        <v>174</v>
      </c>
      <c r="B42" s="14">
        <f>TDIST(ABS(B41),C37,2)</f>
        <v>0.6400426198190301</v>
      </c>
      <c r="C42" t="s">
        <v>175</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F24"/>
  <sheetViews>
    <sheetView workbookViewId="0">
      <selection activeCell="D27" sqref="D27"/>
    </sheetView>
  </sheetViews>
  <sheetFormatPr defaultColWidth="11" defaultRowHeight="15.75" x14ac:dyDescent="0.25"/>
  <cols>
    <col min="1" max="1" width="14" customWidth="1"/>
    <col min="2" max="2" width="18.375" customWidth="1"/>
    <col min="3" max="3" width="20.5" customWidth="1"/>
    <col min="4" max="4" width="17.875" customWidth="1"/>
    <col min="6" max="6" width="21.625" customWidth="1"/>
  </cols>
  <sheetData>
    <row r="1" spans="1:6" x14ac:dyDescent="0.25">
      <c r="A1" s="1" t="s">
        <v>192</v>
      </c>
    </row>
    <row r="3" spans="1:6" x14ac:dyDescent="0.25">
      <c r="A3" t="s">
        <v>75</v>
      </c>
      <c r="B3" t="s">
        <v>76</v>
      </c>
      <c r="C3" t="s">
        <v>77</v>
      </c>
      <c r="D3" t="s">
        <v>78</v>
      </c>
      <c r="E3" t="s">
        <v>79</v>
      </c>
      <c r="F3" t="s">
        <v>80</v>
      </c>
    </row>
    <row r="4" spans="1:6" x14ac:dyDescent="0.25">
      <c r="A4" t="s">
        <v>81</v>
      </c>
      <c r="B4">
        <v>3.2759999999999997E-2</v>
      </c>
      <c r="C4">
        <v>3.4380000000000001E-2</v>
      </c>
      <c r="D4">
        <f>C4-B4</f>
        <v>1.6200000000000034E-3</v>
      </c>
      <c r="E4">
        <v>15</v>
      </c>
      <c r="F4" s="2">
        <f>D4/E4</f>
        <v>1.0800000000000023E-4</v>
      </c>
    </row>
    <row r="5" spans="1:6" x14ac:dyDescent="0.25">
      <c r="A5" t="s">
        <v>82</v>
      </c>
      <c r="B5">
        <v>3.9829999999999997E-2</v>
      </c>
      <c r="C5">
        <v>4.1689999999999998E-2</v>
      </c>
      <c r="D5">
        <f t="shared" ref="D5:D24" si="0">C5-B5</f>
        <v>1.8600000000000005E-3</v>
      </c>
      <c r="E5">
        <v>16</v>
      </c>
      <c r="F5" s="2">
        <f t="shared" ref="F5:F24" si="1">D5/E5</f>
        <v>1.1625000000000003E-4</v>
      </c>
    </row>
    <row r="6" spans="1:6" x14ac:dyDescent="0.25">
      <c r="A6" t="s">
        <v>83</v>
      </c>
      <c r="B6">
        <v>3.9919999999999997E-2</v>
      </c>
      <c r="C6">
        <v>4.1570000000000003E-2</v>
      </c>
      <c r="D6">
        <f t="shared" si="0"/>
        <v>1.6500000000000056E-3</v>
      </c>
      <c r="E6">
        <v>14</v>
      </c>
      <c r="F6" s="2">
        <f t="shared" si="1"/>
        <v>1.1785714285714326E-4</v>
      </c>
    </row>
    <row r="7" spans="1:6" x14ac:dyDescent="0.25">
      <c r="A7" t="s">
        <v>84</v>
      </c>
      <c r="B7">
        <v>3.9530000000000003E-2</v>
      </c>
      <c r="C7">
        <v>4.1119999999999997E-2</v>
      </c>
      <c r="D7">
        <f t="shared" si="0"/>
        <v>1.5899999999999942E-3</v>
      </c>
      <c r="E7">
        <v>15</v>
      </c>
      <c r="F7" s="2">
        <f t="shared" si="1"/>
        <v>1.0599999999999961E-4</v>
      </c>
    </row>
    <row r="8" spans="1:6" x14ac:dyDescent="0.25">
      <c r="A8" t="s">
        <v>85</v>
      </c>
      <c r="B8">
        <v>3.8760000000000003E-2</v>
      </c>
      <c r="C8">
        <v>4.054E-2</v>
      </c>
      <c r="D8">
        <f t="shared" si="0"/>
        <v>1.7799999999999969E-3</v>
      </c>
      <c r="E8">
        <v>15</v>
      </c>
      <c r="F8" s="2">
        <f t="shared" si="1"/>
        <v>1.1866666666666646E-4</v>
      </c>
    </row>
    <row r="9" spans="1:6" x14ac:dyDescent="0.25">
      <c r="A9" t="s">
        <v>86</v>
      </c>
      <c r="B9">
        <v>3.3000000000000002E-2</v>
      </c>
      <c r="C9">
        <v>3.4909999999999997E-2</v>
      </c>
      <c r="D9">
        <f t="shared" si="0"/>
        <v>1.909999999999995E-3</v>
      </c>
      <c r="E9">
        <v>15</v>
      </c>
      <c r="F9" s="2">
        <f t="shared" si="1"/>
        <v>1.27333333333333E-4</v>
      </c>
    </row>
    <row r="10" spans="1:6" x14ac:dyDescent="0.25">
      <c r="A10" t="s">
        <v>87</v>
      </c>
      <c r="B10">
        <v>3.4720000000000001E-2</v>
      </c>
      <c r="C10">
        <v>3.6389999999999999E-2</v>
      </c>
      <c r="D10">
        <f t="shared" si="0"/>
        <v>1.6699999999999979E-3</v>
      </c>
      <c r="E10">
        <v>15</v>
      </c>
      <c r="F10" s="2">
        <f t="shared" si="1"/>
        <v>1.113333333333332E-4</v>
      </c>
    </row>
    <row r="11" spans="1:6" x14ac:dyDescent="0.25">
      <c r="A11" t="s">
        <v>88</v>
      </c>
      <c r="B11">
        <v>3.526E-2</v>
      </c>
      <c r="C11">
        <v>3.6819999999999999E-2</v>
      </c>
      <c r="D11">
        <f t="shared" si="0"/>
        <v>1.5599999999999989E-3</v>
      </c>
      <c r="E11">
        <v>15</v>
      </c>
      <c r="F11" s="2">
        <f t="shared" si="1"/>
        <v>1.0399999999999993E-4</v>
      </c>
    </row>
    <row r="12" spans="1:6" x14ac:dyDescent="0.25">
      <c r="A12" t="s">
        <v>89</v>
      </c>
      <c r="B12">
        <v>3.8620000000000002E-2</v>
      </c>
      <c r="C12">
        <v>4.0430000000000001E-2</v>
      </c>
      <c r="D12">
        <f t="shared" si="0"/>
        <v>1.8099999999999991E-3</v>
      </c>
      <c r="E12">
        <v>15</v>
      </c>
      <c r="F12" s="2">
        <f>D12/E12</f>
        <v>1.2066666666666661E-4</v>
      </c>
    </row>
    <row r="13" spans="1:6" x14ac:dyDescent="0.25">
      <c r="A13" t="s">
        <v>177</v>
      </c>
      <c r="B13">
        <v>3.5029999999999999E-2</v>
      </c>
      <c r="C13">
        <v>3.6740000000000002E-2</v>
      </c>
      <c r="D13">
        <f t="shared" si="0"/>
        <v>1.7100000000000032E-3</v>
      </c>
      <c r="E13">
        <v>16</v>
      </c>
      <c r="F13" s="2">
        <f t="shared" si="1"/>
        <v>1.068750000000002E-4</v>
      </c>
    </row>
    <row r="14" spans="1:6" x14ac:dyDescent="0.25">
      <c r="A14" t="s">
        <v>178</v>
      </c>
      <c r="B14">
        <v>3.5249999999999997E-2</v>
      </c>
      <c r="C14">
        <v>3.678E-2</v>
      </c>
      <c r="D14">
        <f t="shared" si="0"/>
        <v>1.5300000000000036E-3</v>
      </c>
      <c r="E14">
        <v>15</v>
      </c>
      <c r="F14" s="2">
        <f t="shared" si="1"/>
        <v>1.0200000000000024E-4</v>
      </c>
    </row>
    <row r="15" spans="1:6" x14ac:dyDescent="0.25">
      <c r="A15" t="s">
        <v>179</v>
      </c>
      <c r="B15">
        <v>3.1220000000000001E-2</v>
      </c>
      <c r="C15">
        <v>3.286E-2</v>
      </c>
      <c r="D15">
        <f t="shared" si="0"/>
        <v>1.6399999999999991E-3</v>
      </c>
      <c r="E15">
        <v>15</v>
      </c>
      <c r="F15" s="2">
        <f t="shared" si="1"/>
        <v>1.0933333333333327E-4</v>
      </c>
    </row>
    <row r="16" spans="1:6" x14ac:dyDescent="0.25">
      <c r="A16" t="s">
        <v>90</v>
      </c>
      <c r="B16">
        <v>3.2620000000000003E-2</v>
      </c>
      <c r="C16">
        <v>3.4130000000000001E-2</v>
      </c>
      <c r="D16">
        <f t="shared" si="0"/>
        <v>1.5099999999999975E-3</v>
      </c>
      <c r="E16">
        <v>15</v>
      </c>
      <c r="F16" s="2">
        <f t="shared" si="1"/>
        <v>1.0066666666666649E-4</v>
      </c>
    </row>
    <row r="17" spans="1:6" x14ac:dyDescent="0.25">
      <c r="A17" t="s">
        <v>91</v>
      </c>
      <c r="B17">
        <v>3.3450000000000001E-2</v>
      </c>
      <c r="C17">
        <v>3.5310000000000001E-2</v>
      </c>
      <c r="D17">
        <f t="shared" si="0"/>
        <v>1.8600000000000005E-3</v>
      </c>
      <c r="E17">
        <v>16</v>
      </c>
      <c r="F17" s="2">
        <f t="shared" si="1"/>
        <v>1.1625000000000003E-4</v>
      </c>
    </row>
    <row r="18" spans="1:6" x14ac:dyDescent="0.25">
      <c r="A18" t="s">
        <v>92</v>
      </c>
      <c r="B18">
        <v>3.2509999999999997E-2</v>
      </c>
      <c r="C18">
        <v>3.3730000000000003E-2</v>
      </c>
      <c r="D18">
        <f t="shared" si="0"/>
        <v>1.2200000000000058E-3</v>
      </c>
      <c r="E18">
        <v>14</v>
      </c>
      <c r="F18" s="2">
        <f t="shared" si="1"/>
        <v>8.7142857142857559E-5</v>
      </c>
    </row>
    <row r="19" spans="1:6" x14ac:dyDescent="0.25">
      <c r="A19" t="s">
        <v>93</v>
      </c>
      <c r="B19">
        <v>3.2190000000000003E-2</v>
      </c>
      <c r="C19">
        <v>3.3779999999999998E-2</v>
      </c>
      <c r="D19">
        <f t="shared" si="0"/>
        <v>1.5899999999999942E-3</v>
      </c>
      <c r="E19">
        <v>14</v>
      </c>
      <c r="F19" s="2">
        <f t="shared" si="1"/>
        <v>1.1357142857142816E-4</v>
      </c>
    </row>
    <row r="20" spans="1:6" x14ac:dyDescent="0.25">
      <c r="A20" t="s">
        <v>94</v>
      </c>
      <c r="B20">
        <v>3.8649999999999997E-2</v>
      </c>
      <c r="C20">
        <v>4.0039999999999999E-2</v>
      </c>
      <c r="D20">
        <f t="shared" si="0"/>
        <v>1.3900000000000023E-3</v>
      </c>
      <c r="E20">
        <v>17</v>
      </c>
      <c r="F20" s="2">
        <f t="shared" si="1"/>
        <v>8.1764705882353083E-5</v>
      </c>
    </row>
    <row r="21" spans="1:6" x14ac:dyDescent="0.25">
      <c r="A21" t="s">
        <v>95</v>
      </c>
      <c r="B21">
        <v>3.6580000000000001E-2</v>
      </c>
      <c r="C21">
        <v>3.8370000000000001E-2</v>
      </c>
      <c r="D21">
        <f t="shared" si="0"/>
        <v>1.7899999999999999E-3</v>
      </c>
      <c r="E21">
        <v>16</v>
      </c>
      <c r="F21" s="2">
        <f t="shared" si="1"/>
        <v>1.11875E-4</v>
      </c>
    </row>
    <row r="22" spans="1:6" x14ac:dyDescent="0.25">
      <c r="A22" t="s">
        <v>99</v>
      </c>
      <c r="B22">
        <v>3.3430000000000001E-2</v>
      </c>
      <c r="C22">
        <v>3.4939999999999999E-2</v>
      </c>
      <c r="D22">
        <f t="shared" si="0"/>
        <v>1.5099999999999975E-3</v>
      </c>
      <c r="E22">
        <v>15</v>
      </c>
      <c r="F22" s="2">
        <f t="shared" si="1"/>
        <v>1.0066666666666649E-4</v>
      </c>
    </row>
    <row r="23" spans="1:6" x14ac:dyDescent="0.25">
      <c r="A23" t="s">
        <v>100</v>
      </c>
      <c r="B23">
        <v>3.8850000000000003E-2</v>
      </c>
      <c r="C23">
        <v>4.0169999999999997E-2</v>
      </c>
      <c r="D23">
        <f t="shared" si="0"/>
        <v>1.3199999999999948E-3</v>
      </c>
      <c r="E23">
        <v>15</v>
      </c>
      <c r="F23" s="2">
        <f t="shared" si="1"/>
        <v>8.7999999999999659E-5</v>
      </c>
    </row>
    <row r="24" spans="1:6" x14ac:dyDescent="0.25">
      <c r="A24" t="s">
        <v>101</v>
      </c>
      <c r="B24">
        <v>3.499E-2</v>
      </c>
      <c r="C24">
        <v>3.5909999999999997E-2</v>
      </c>
      <c r="D24">
        <f t="shared" si="0"/>
        <v>9.1999999999999721E-4</v>
      </c>
      <c r="E24">
        <v>14</v>
      </c>
      <c r="F24" s="2">
        <f t="shared" si="1"/>
        <v>6.5714285714285511E-5</v>
      </c>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T52"/>
  <sheetViews>
    <sheetView topLeftCell="F4" workbookViewId="0">
      <selection activeCell="J10" sqref="J10"/>
    </sheetView>
  </sheetViews>
  <sheetFormatPr defaultColWidth="11" defaultRowHeight="15.75" x14ac:dyDescent="0.25"/>
  <cols>
    <col min="1" max="1" width="14.625" customWidth="1"/>
    <col min="2" max="2" width="23.375" customWidth="1"/>
    <col min="3" max="3" width="9.875" customWidth="1"/>
    <col min="5" max="5" width="15.375" customWidth="1"/>
    <col min="10" max="10" width="15.5" customWidth="1"/>
  </cols>
  <sheetData>
    <row r="1" spans="1:10" x14ac:dyDescent="0.25">
      <c r="D1" t="s">
        <v>102</v>
      </c>
      <c r="E1">
        <v>21</v>
      </c>
    </row>
    <row r="3" spans="1:10" x14ac:dyDescent="0.25">
      <c r="A3" t="s">
        <v>75</v>
      </c>
      <c r="B3" t="s">
        <v>103</v>
      </c>
      <c r="C3" t="s">
        <v>104</v>
      </c>
      <c r="D3" t="s">
        <v>105</v>
      </c>
      <c r="E3" t="s">
        <v>106</v>
      </c>
      <c r="G3">
        <v>0</v>
      </c>
    </row>
    <row r="4" spans="1:10" x14ac:dyDescent="0.25">
      <c r="A4" t="s">
        <v>108</v>
      </c>
      <c r="B4">
        <v>2</v>
      </c>
      <c r="D4">
        <v>0</v>
      </c>
      <c r="E4">
        <v>0</v>
      </c>
      <c r="G4">
        <v>0</v>
      </c>
    </row>
    <row r="5" spans="1:10" x14ac:dyDescent="0.25">
      <c r="A5" t="s">
        <v>109</v>
      </c>
      <c r="B5">
        <v>0</v>
      </c>
      <c r="D5">
        <v>0</v>
      </c>
      <c r="E5">
        <v>0</v>
      </c>
      <c r="G5">
        <v>0</v>
      </c>
    </row>
    <row r="6" spans="1:10" x14ac:dyDescent="0.25">
      <c r="A6" t="s">
        <v>81</v>
      </c>
      <c r="B6">
        <v>310</v>
      </c>
      <c r="C6" s="4">
        <f>(B6*391)/(2220000*10.9)*1000/'Mosher Masses 6.0 23'!D4</f>
        <v>3092.0318891776524</v>
      </c>
      <c r="D6" s="5">
        <f>(B6*391)/(2220000*10.9)*1000/'Mosher Masses 6.0 23'!E4</f>
        <v>0.33393944403118714</v>
      </c>
      <c r="E6" s="4">
        <f>AVERAGE(C6:C8)</f>
        <v>2750.5502000476358</v>
      </c>
      <c r="F6" s="20">
        <f>STDEV(C6:C8)/E6</f>
        <v>0.12982161943801751</v>
      </c>
      <c r="G6">
        <v>3</v>
      </c>
      <c r="I6" t="s">
        <v>110</v>
      </c>
      <c r="J6" t="s">
        <v>106</v>
      </c>
    </row>
    <row r="7" spans="1:10" x14ac:dyDescent="0.25">
      <c r="A7" t="s">
        <v>82</v>
      </c>
      <c r="B7">
        <v>320</v>
      </c>
      <c r="C7" s="4">
        <f>(B7*391)/(2220000*10.9)*1000/'Mosher Masses 6.0 23'!D5</f>
        <v>2779.9329367840751</v>
      </c>
      <c r="D7" s="5">
        <f>(B7*391)/(2220000*10.9)*1000/'Mosher Masses 6.0 23'!E5</f>
        <v>0.32316720390114884</v>
      </c>
      <c r="G7">
        <v>3</v>
      </c>
      <c r="I7">
        <v>3</v>
      </c>
    </row>
    <row r="8" spans="1:10" x14ac:dyDescent="0.25">
      <c r="A8" t="s">
        <v>83</v>
      </c>
      <c r="B8">
        <v>243</v>
      </c>
      <c r="C8" s="4">
        <f>(B8*391)/(2220000*10.9)*1000/'Mosher Masses 6.0 23'!D6</f>
        <v>2379.6857741811791</v>
      </c>
      <c r="D8" s="5">
        <f>(B8*391)/(2220000*10.9)*1000/'Mosher Masses 6.0 23'!E6</f>
        <v>0.28046296624278277</v>
      </c>
      <c r="G8">
        <v>3</v>
      </c>
      <c r="I8">
        <v>6</v>
      </c>
    </row>
    <row r="9" spans="1:10" x14ac:dyDescent="0.25">
      <c r="A9" t="s">
        <v>84</v>
      </c>
      <c r="B9">
        <v>321</v>
      </c>
      <c r="C9" s="4">
        <f>(B9*391)/(2220000*10.9)*1000/'Mosher Masses 6.0 23'!D7</f>
        <v>3262.1595110776466</v>
      </c>
      <c r="D9" s="5">
        <f>(B9*391)/(2220000*10.9)*1000/'Mosher Masses 6.0 23'!E7</f>
        <v>0.34578890817422925</v>
      </c>
      <c r="E9" s="4">
        <f>AVERAGE(C9:C11)</f>
        <v>3329.443341864328</v>
      </c>
      <c r="F9" s="20">
        <f>STDEV(C9:C11)/E9</f>
        <v>7.7056787398519261E-2</v>
      </c>
      <c r="G9">
        <v>6</v>
      </c>
      <c r="I9">
        <v>12</v>
      </c>
    </row>
    <row r="10" spans="1:10" x14ac:dyDescent="0.25">
      <c r="A10" t="s">
        <v>85</v>
      </c>
      <c r="B10">
        <v>398</v>
      </c>
      <c r="C10" s="4">
        <f>(B10*391)/(2220000*10.9)*1000/'Mosher Masses 6.0 23'!D8</f>
        <v>3612.9367177712775</v>
      </c>
      <c r="D10" s="5">
        <f>(B10*391)/(2220000*10.9)*1000/'Mosher Masses 6.0 23'!E8</f>
        <v>0.42873515717552413</v>
      </c>
      <c r="G10">
        <v>6</v>
      </c>
      <c r="I10">
        <v>16</v>
      </c>
    </row>
    <row r="11" spans="1:10" x14ac:dyDescent="0.25">
      <c r="A11" t="s">
        <v>86</v>
      </c>
      <c r="B11">
        <v>368</v>
      </c>
      <c r="C11" s="4">
        <f>(B11*391)/(2220000*10.9)*1000/'Mosher Masses 6.0 23'!D9</f>
        <v>3113.2337967440599</v>
      </c>
      <c r="D11" s="5">
        <f>(B11*391)/(2220000*10.9)*1000/'Mosher Masses 6.0 23'!E9</f>
        <v>0.39641843678540928</v>
      </c>
      <c r="G11">
        <v>6</v>
      </c>
      <c r="I11">
        <v>24</v>
      </c>
    </row>
    <row r="12" spans="1:10" x14ac:dyDescent="0.25">
      <c r="A12" t="s">
        <v>87</v>
      </c>
      <c r="B12">
        <v>457</v>
      </c>
      <c r="C12" s="4">
        <f>(B12*391)/(2220000*10.9)*1000/'Mosher Masses 6.0 23'!D10</f>
        <v>4421.7788078690182</v>
      </c>
      <c r="D12" s="5">
        <f>(B12*391)/(2220000*10.9)*1000/'Mosher Masses 6.0 23'!E10</f>
        <v>0.49229137394275013</v>
      </c>
      <c r="E12" s="4">
        <f>AVERAGE(C12:C14)</f>
        <v>4293.0553891689597</v>
      </c>
      <c r="F12" s="20">
        <f>STDEV(C12:C14)/E12</f>
        <v>0.19653315128335216</v>
      </c>
      <c r="G12">
        <v>12</v>
      </c>
      <c r="I12">
        <v>36</v>
      </c>
    </row>
    <row r="13" spans="1:10" x14ac:dyDescent="0.25">
      <c r="A13" t="s">
        <v>88</v>
      </c>
      <c r="B13">
        <v>489</v>
      </c>
      <c r="C13" s="4">
        <f>(B13*391)/(2220000*10.9)*1000/'Mosher Masses 6.0 23'!D11</f>
        <v>5065.0244457583949</v>
      </c>
      <c r="D13" s="5">
        <f>(B13*391)/(2220000*10.9)*1000/'Mosher Masses 6.0 23'!E11</f>
        <v>0.52676254235887265</v>
      </c>
      <c r="G13">
        <v>12</v>
      </c>
    </row>
    <row r="14" spans="1:10" x14ac:dyDescent="0.25">
      <c r="A14" t="s">
        <v>89</v>
      </c>
      <c r="B14">
        <v>380</v>
      </c>
      <c r="C14" s="4">
        <f>(B14*391)/(2220000*10.9)*1000/'Mosher Masses 6.0 23'!D12</f>
        <v>3392.3629138794649</v>
      </c>
      <c r="D14" s="5">
        <f>(B14*391)/(2220000*10.9)*1000/'Mosher Masses 6.0 23'!E12</f>
        <v>0.40934512494145525</v>
      </c>
      <c r="G14">
        <v>12</v>
      </c>
    </row>
    <row r="15" spans="1:10" x14ac:dyDescent="0.25">
      <c r="A15" t="s">
        <v>177</v>
      </c>
      <c r="B15">
        <v>514</v>
      </c>
      <c r="C15" s="4">
        <f>(B15*391)/(2220000*10.9)*1000/'Mosher Masses 6.0 23'!D13</f>
        <v>4856.9573919646264</v>
      </c>
      <c r="D15" s="5">
        <f>(B15*391)/(2220000*10.9)*1000/'Mosher Masses 6.0 23'!E13</f>
        <v>0.51908732126622037</v>
      </c>
      <c r="E15" s="4">
        <f>AVERAGE(C15:C17)</f>
        <v>4994.8200488177599</v>
      </c>
      <c r="F15" s="20">
        <f>STDEV(C15:C17)/E15</f>
        <v>0.19488696778475431</v>
      </c>
      <c r="G15">
        <v>16</v>
      </c>
    </row>
    <row r="16" spans="1:10" x14ac:dyDescent="0.25">
      <c r="A16" t="s">
        <v>178</v>
      </c>
      <c r="B16">
        <v>388</v>
      </c>
      <c r="C16" s="4">
        <f>(B16*391)/(2220000*10.9)*1000/'Mosher Masses 6.0 23'!D14</f>
        <v>4097.6756573086759</v>
      </c>
      <c r="D16" s="5">
        <f>(B16*391)/(2220000*10.9)*1000/'Mosher Masses 6.0 23'!E14</f>
        <v>0.41796291704548588</v>
      </c>
      <c r="G16">
        <v>16</v>
      </c>
    </row>
    <row r="17" spans="1:20" x14ac:dyDescent="0.25">
      <c r="A17" t="s">
        <v>179</v>
      </c>
      <c r="B17">
        <v>612</v>
      </c>
      <c r="C17" s="4">
        <f>(B17*391)/(2220000*10.9)*1000/'Mosher Masses 6.0 23'!D15</f>
        <v>6029.8270971799757</v>
      </c>
      <c r="D17" s="5">
        <f>(B17*391)/(2220000*10.9)*1000/'Mosher Masses 6.0 23'!E15</f>
        <v>0.6592610959583437</v>
      </c>
      <c r="G17">
        <v>16</v>
      </c>
    </row>
    <row r="18" spans="1:20" x14ac:dyDescent="0.25">
      <c r="A18" t="s">
        <v>90</v>
      </c>
      <c r="B18">
        <v>526</v>
      </c>
      <c r="C18" s="4">
        <f>(B18*391)/(2220000*10.9)*1000/'Mosher Masses 6.0 23'!D16</f>
        <v>5628.6738162915426</v>
      </c>
      <c r="D18" s="5">
        <f>(B18*391)/(2220000*10.9)*1000/'Mosher Masses 6.0 23'!E16</f>
        <v>0.56661983084001433</v>
      </c>
      <c r="E18" s="4">
        <f>AVERAGE(C18:C20)</f>
        <v>6421.6713033473743</v>
      </c>
      <c r="F18" s="20">
        <f>STDEV(C18:C20)/E18</f>
        <v>0.16703104006673536</v>
      </c>
      <c r="G18">
        <v>24</v>
      </c>
    </row>
    <row r="19" spans="1:20" x14ac:dyDescent="0.25">
      <c r="A19" t="s">
        <v>91</v>
      </c>
      <c r="B19">
        <v>690</v>
      </c>
      <c r="C19" s="4">
        <f>(B19*391)/(2220000*10.9)*1000/'Mosher Masses 6.0 23'!D17</f>
        <v>5994.2303949406623</v>
      </c>
      <c r="D19" s="5">
        <f>(B19*391)/(2220000*10.9)*1000/'Mosher Masses 6.0 23'!E17</f>
        <v>0.69682928341185224</v>
      </c>
      <c r="G19">
        <v>24</v>
      </c>
    </row>
    <row r="20" spans="1:20" x14ac:dyDescent="0.25">
      <c r="A20" t="s">
        <v>92</v>
      </c>
      <c r="B20">
        <v>577</v>
      </c>
      <c r="C20" s="4">
        <f>(B20*391)/(2220000*10.9)*1000/'Mosher Masses 6.0 23'!D18</f>
        <v>7642.109698809918</v>
      </c>
      <c r="D20" s="5">
        <f>(B20*391)/(2220000*10.9)*1000/'Mosher Masses 6.0 23'!E18</f>
        <v>0.66595527375343888</v>
      </c>
      <c r="G20">
        <v>24</v>
      </c>
      <c r="I20">
        <v>0</v>
      </c>
      <c r="J20">
        <v>0</v>
      </c>
    </row>
    <row r="21" spans="1:20" x14ac:dyDescent="0.25">
      <c r="A21" t="s">
        <v>93</v>
      </c>
      <c r="B21">
        <v>661</v>
      </c>
      <c r="C21" s="4">
        <f>(B21*391)/(2220000*10.9)*1000/'Mosher Masses 6.0 23'!D19</f>
        <v>6717.4063452408873</v>
      </c>
      <c r="D21" s="5">
        <f>(B21*391)/(2220000*10.9)*1000/'Mosher Masses 6.0 23'!E19</f>
        <v>0.76290543492378371</v>
      </c>
      <c r="E21" s="4">
        <f>AVERAGE(C21:C23)</f>
        <v>9296.2710677069463</v>
      </c>
      <c r="F21" s="20">
        <f>STDEV(C21:C23)/E21</f>
        <v>0.31055831560325997</v>
      </c>
      <c r="G21">
        <v>36</v>
      </c>
      <c r="I21">
        <v>3</v>
      </c>
      <c r="J21">
        <v>2751</v>
      </c>
    </row>
    <row r="22" spans="1:20" x14ac:dyDescent="0.25">
      <c r="A22" t="s">
        <v>94</v>
      </c>
      <c r="B22">
        <v>1068</v>
      </c>
      <c r="C22" s="4">
        <f>(B22*391)/(2220000*10.9)*1000/'Mosher Masses 6.0 23'!D20</f>
        <v>12415.200495195193</v>
      </c>
      <c r="D22" s="5">
        <f>(B22*391)/(2220000*10.9)*1000/'Mosher Masses 6.0 23'!E20</f>
        <v>1.0151252169600793</v>
      </c>
      <c r="G22">
        <v>36</v>
      </c>
      <c r="I22">
        <v>6</v>
      </c>
      <c r="J22">
        <v>3329</v>
      </c>
    </row>
    <row r="23" spans="1:20" x14ac:dyDescent="0.25">
      <c r="A23" t="s">
        <v>95</v>
      </c>
      <c r="B23">
        <v>970</v>
      </c>
      <c r="C23" s="4">
        <f>(B23*391)/(2220000*10.9)*1000/'Mosher Masses 6.0 23'!D21</f>
        <v>8756.2063626847594</v>
      </c>
      <c r="D23" s="5">
        <f>(B23*391)/(2220000*10.9)*1000/'Mosher Masses 6.0 23'!E21</f>
        <v>0.97960058682535733</v>
      </c>
      <c r="G23">
        <v>36</v>
      </c>
      <c r="I23">
        <v>12</v>
      </c>
      <c r="J23">
        <v>4293</v>
      </c>
    </row>
    <row r="24" spans="1:20" x14ac:dyDescent="0.25">
      <c r="A24" t="s">
        <v>99</v>
      </c>
      <c r="B24">
        <v>0</v>
      </c>
      <c r="C24" s="4">
        <f>(B24*391)/(2220000*10.9)*1000/'Mosher Masses 6.0 23'!D22</f>
        <v>0</v>
      </c>
      <c r="D24" s="5">
        <f>(B24*391)/(2220000*10.9)*1000/'Mosher Masses 6.0 23'!E22</f>
        <v>0</v>
      </c>
      <c r="E24" s="7">
        <f>AVERAGE(C24:C25)</f>
        <v>0</v>
      </c>
      <c r="F24" s="20" t="e">
        <f>STDEV(C24:C26)/E24</f>
        <v>#DIV/0!</v>
      </c>
      <c r="I24">
        <v>16</v>
      </c>
      <c r="J24">
        <v>4995</v>
      </c>
    </row>
    <row r="25" spans="1:20" x14ac:dyDescent="0.25">
      <c r="A25" t="s">
        <v>100</v>
      </c>
      <c r="B25">
        <v>0</v>
      </c>
      <c r="C25" s="4">
        <f>(B25*391)/(2220000*10.9)*1000/'Mosher Masses 6.0 23'!D23</f>
        <v>0</v>
      </c>
      <c r="D25" s="5">
        <f>(B25*391)/(2220000*10.9)*1000/'Mosher Masses 6.0 23'!E23</f>
        <v>0</v>
      </c>
      <c r="I25">
        <v>24</v>
      </c>
      <c r="J25">
        <v>6422</v>
      </c>
    </row>
    <row r="26" spans="1:20" x14ac:dyDescent="0.25">
      <c r="A26" t="s">
        <v>101</v>
      </c>
      <c r="B26">
        <v>0</v>
      </c>
      <c r="C26" s="4">
        <f>(B26*391)/(2220000*10.9)*1000/'Mosher Masses 6.0 23'!D24</f>
        <v>0</v>
      </c>
      <c r="D26" s="5">
        <f>(B26*391)/(2220000*10.9)*1000/'Mosher Masses 6.0 23'!E24</f>
        <v>0</v>
      </c>
      <c r="I26">
        <v>36</v>
      </c>
      <c r="J26">
        <v>9296</v>
      </c>
    </row>
    <row r="30" spans="1:20" x14ac:dyDescent="0.25">
      <c r="Q30" t="s">
        <v>193</v>
      </c>
      <c r="S30" t="s">
        <v>188</v>
      </c>
    </row>
    <row r="31" spans="1:20" x14ac:dyDescent="0.25">
      <c r="A31" s="1" t="s">
        <v>112</v>
      </c>
      <c r="B31" t="s">
        <v>113</v>
      </c>
      <c r="C31" t="s">
        <v>114</v>
      </c>
      <c r="D31" t="s">
        <v>115</v>
      </c>
      <c r="E31" t="s">
        <v>116</v>
      </c>
      <c r="F31" t="s">
        <v>117</v>
      </c>
      <c r="G31" t="s">
        <v>118</v>
      </c>
      <c r="L31" t="s">
        <v>110</v>
      </c>
      <c r="M31" t="s">
        <v>119</v>
      </c>
      <c r="N31" t="s">
        <v>120</v>
      </c>
      <c r="O31" t="s">
        <v>121</v>
      </c>
      <c r="Q31">
        <v>0</v>
      </c>
      <c r="R31" s="4">
        <v>0</v>
      </c>
      <c r="S31">
        <v>0</v>
      </c>
      <c r="T31">
        <v>0</v>
      </c>
    </row>
    <row r="32" spans="1:20" x14ac:dyDescent="0.25">
      <c r="A32" t="s">
        <v>122</v>
      </c>
      <c r="B32">
        <v>0</v>
      </c>
      <c r="C32">
        <v>0</v>
      </c>
      <c r="D32">
        <v>0</v>
      </c>
      <c r="E32">
        <v>0</v>
      </c>
      <c r="F32">
        <v>0</v>
      </c>
      <c r="G32" s="21" t="e">
        <f t="shared" ref="G32:G38" si="0">(E32)/(SUM(B32+C32+D32+E32+F32))</f>
        <v>#DIV/0!</v>
      </c>
      <c r="I32" t="s">
        <v>102</v>
      </c>
      <c r="J32">
        <v>21</v>
      </c>
      <c r="L32">
        <v>0</v>
      </c>
      <c r="M32">
        <v>0</v>
      </c>
      <c r="N32">
        <v>0</v>
      </c>
      <c r="O32">
        <v>0</v>
      </c>
      <c r="Q32">
        <v>3</v>
      </c>
      <c r="R32" s="4">
        <f>AVERAGE(N35:N37)</f>
        <v>2530.6133333333332</v>
      </c>
      <c r="S32">
        <v>3</v>
      </c>
      <c r="T32" s="4">
        <f>AVERAGE(O35:O37)</f>
        <v>220.05333333333328</v>
      </c>
    </row>
    <row r="33" spans="1:20" x14ac:dyDescent="0.25">
      <c r="A33" t="s">
        <v>123</v>
      </c>
      <c r="B33">
        <v>29</v>
      </c>
      <c r="C33">
        <v>0</v>
      </c>
      <c r="D33">
        <v>6</v>
      </c>
      <c r="E33">
        <v>469</v>
      </c>
      <c r="F33">
        <v>5</v>
      </c>
      <c r="G33" s="21">
        <f t="shared" si="0"/>
        <v>0.92141453831041253</v>
      </c>
      <c r="L33">
        <v>0</v>
      </c>
      <c r="M33">
        <v>0</v>
      </c>
      <c r="N33">
        <v>0</v>
      </c>
      <c r="O33">
        <v>0</v>
      </c>
      <c r="Q33">
        <v>6</v>
      </c>
      <c r="R33" s="4">
        <f>AVERAGE(N38:N40)</f>
        <v>2796.64</v>
      </c>
      <c r="S33">
        <v>6</v>
      </c>
      <c r="T33" s="4">
        <f>AVERAGE(O38:O40)</f>
        <v>532.69333333333327</v>
      </c>
    </row>
    <row r="34" spans="1:20" x14ac:dyDescent="0.25">
      <c r="A34" t="s">
        <v>124</v>
      </c>
      <c r="B34">
        <v>95</v>
      </c>
      <c r="C34">
        <v>4</v>
      </c>
      <c r="D34">
        <v>14</v>
      </c>
      <c r="E34">
        <v>583</v>
      </c>
      <c r="F34">
        <v>0</v>
      </c>
      <c r="G34" s="21">
        <f t="shared" si="0"/>
        <v>0.83764367816091956</v>
      </c>
      <c r="L34">
        <v>0</v>
      </c>
      <c r="M34">
        <v>0</v>
      </c>
      <c r="N34">
        <v>0</v>
      </c>
      <c r="O34">
        <v>0</v>
      </c>
      <c r="Q34">
        <v>12</v>
      </c>
      <c r="R34" s="4">
        <f>AVERAGE(N41:N43)</f>
        <v>3477.3300000000004</v>
      </c>
      <c r="S34">
        <v>12</v>
      </c>
      <c r="T34" s="4">
        <f>AVERAGE(O41:O43)</f>
        <v>815.66999999999973</v>
      </c>
    </row>
    <row r="35" spans="1:20" x14ac:dyDescent="0.25">
      <c r="A35" t="s">
        <v>125</v>
      </c>
      <c r="B35">
        <v>112</v>
      </c>
      <c r="C35">
        <v>8</v>
      </c>
      <c r="D35">
        <v>9</v>
      </c>
      <c r="E35">
        <v>546</v>
      </c>
      <c r="F35">
        <v>2</v>
      </c>
      <c r="G35" s="21">
        <f t="shared" si="0"/>
        <v>0.80649926144756279</v>
      </c>
      <c r="L35">
        <v>3</v>
      </c>
      <c r="M35">
        <v>3092</v>
      </c>
      <c r="N35" s="4">
        <f>M35*0.92</f>
        <v>2844.6400000000003</v>
      </c>
      <c r="O35" s="4">
        <f>M35-N35</f>
        <v>247.35999999999967</v>
      </c>
      <c r="Q35">
        <v>16</v>
      </c>
      <c r="R35" s="4">
        <f>AVERAGE(N44:N46)</f>
        <v>3496.5</v>
      </c>
      <c r="S35">
        <v>16</v>
      </c>
      <c r="T35" s="4">
        <f>AVERAGE(O44:O46)</f>
        <v>1498.5</v>
      </c>
    </row>
    <row r="36" spans="1:20" x14ac:dyDescent="0.25">
      <c r="A36" t="s">
        <v>180</v>
      </c>
      <c r="B36">
        <v>189</v>
      </c>
      <c r="C36">
        <v>15</v>
      </c>
      <c r="D36">
        <v>14</v>
      </c>
      <c r="E36">
        <v>513</v>
      </c>
      <c r="F36">
        <v>0</v>
      </c>
      <c r="G36" s="21">
        <f t="shared" si="0"/>
        <v>0.70177838577291385</v>
      </c>
      <c r="L36">
        <v>3</v>
      </c>
      <c r="M36">
        <v>2780</v>
      </c>
      <c r="N36" s="4">
        <f t="shared" ref="N36:N37" si="1">M36*0.92</f>
        <v>2557.6</v>
      </c>
      <c r="O36" s="4">
        <f t="shared" ref="O36:O52" si="2">M36-N36</f>
        <v>222.40000000000009</v>
      </c>
      <c r="Q36">
        <v>24</v>
      </c>
      <c r="R36" s="4">
        <f>AVERAGE(N47:N49)</f>
        <v>4045.65</v>
      </c>
      <c r="S36">
        <v>24</v>
      </c>
      <c r="T36" s="4">
        <f>AVERAGE(O47:O49)</f>
        <v>2376.0166666666669</v>
      </c>
    </row>
    <row r="37" spans="1:20" x14ac:dyDescent="0.25">
      <c r="A37" t="s">
        <v>126</v>
      </c>
      <c r="B37">
        <v>418</v>
      </c>
      <c r="C37">
        <v>22</v>
      </c>
      <c r="D37">
        <v>24</v>
      </c>
      <c r="E37">
        <v>779</v>
      </c>
      <c r="F37">
        <v>0</v>
      </c>
      <c r="G37" s="21">
        <f t="shared" si="0"/>
        <v>0.62670957361222845</v>
      </c>
      <c r="L37">
        <v>3</v>
      </c>
      <c r="M37">
        <v>2380</v>
      </c>
      <c r="N37" s="4">
        <f t="shared" si="1"/>
        <v>2189.6</v>
      </c>
      <c r="O37" s="4">
        <f t="shared" si="2"/>
        <v>190.40000000000009</v>
      </c>
      <c r="Q37">
        <v>36</v>
      </c>
      <c r="R37" s="4">
        <f>AVERAGE(N50:N52)</f>
        <v>4555.04</v>
      </c>
      <c r="S37">
        <v>36</v>
      </c>
      <c r="T37" s="4">
        <f>AVERAGE(O50:O52)</f>
        <v>4740.96</v>
      </c>
    </row>
    <row r="38" spans="1:20" x14ac:dyDescent="0.25">
      <c r="A38" t="s">
        <v>127</v>
      </c>
      <c r="B38">
        <v>747</v>
      </c>
      <c r="C38">
        <v>48</v>
      </c>
      <c r="D38">
        <v>31</v>
      </c>
      <c r="E38">
        <v>787</v>
      </c>
      <c r="F38">
        <v>7</v>
      </c>
      <c r="G38" s="21">
        <f t="shared" si="0"/>
        <v>0.48580246913580249</v>
      </c>
      <c r="L38">
        <v>6</v>
      </c>
      <c r="M38">
        <v>3262</v>
      </c>
      <c r="N38" s="4">
        <f>M38*0.84</f>
        <v>2740.08</v>
      </c>
      <c r="O38" s="4">
        <f t="shared" si="2"/>
        <v>521.92000000000007</v>
      </c>
    </row>
    <row r="39" spans="1:20" x14ac:dyDescent="0.25">
      <c r="L39">
        <v>6</v>
      </c>
      <c r="M39">
        <v>3613</v>
      </c>
      <c r="N39" s="4">
        <f>M39*0.84</f>
        <v>3034.92</v>
      </c>
      <c r="O39" s="4">
        <f t="shared" si="2"/>
        <v>578.07999999999993</v>
      </c>
    </row>
    <row r="40" spans="1:20" x14ac:dyDescent="0.25">
      <c r="L40">
        <v>6</v>
      </c>
      <c r="M40">
        <v>3113</v>
      </c>
      <c r="N40" s="4">
        <f>M40*0.84</f>
        <v>2614.92</v>
      </c>
      <c r="O40" s="4">
        <f t="shared" si="2"/>
        <v>498.07999999999993</v>
      </c>
    </row>
    <row r="41" spans="1:20" x14ac:dyDescent="0.25">
      <c r="L41">
        <v>12</v>
      </c>
      <c r="M41">
        <v>4422</v>
      </c>
      <c r="N41" s="4">
        <f>M41*0.81</f>
        <v>3581.82</v>
      </c>
      <c r="O41" s="4">
        <f t="shared" si="2"/>
        <v>840.17999999999984</v>
      </c>
    </row>
    <row r="42" spans="1:20" x14ac:dyDescent="0.25">
      <c r="L42">
        <v>12</v>
      </c>
      <c r="M42">
        <v>5065</v>
      </c>
      <c r="N42" s="4">
        <f t="shared" ref="N42:N43" si="3">M42*0.81</f>
        <v>4102.6500000000005</v>
      </c>
      <c r="O42" s="4">
        <f t="shared" si="2"/>
        <v>962.34999999999945</v>
      </c>
    </row>
    <row r="43" spans="1:20" x14ac:dyDescent="0.25">
      <c r="L43">
        <v>12</v>
      </c>
      <c r="M43">
        <v>3392</v>
      </c>
      <c r="N43" s="4">
        <f t="shared" si="3"/>
        <v>2747.52</v>
      </c>
      <c r="O43" s="4">
        <f t="shared" si="2"/>
        <v>644.48</v>
      </c>
    </row>
    <row r="44" spans="1:20" x14ac:dyDescent="0.25">
      <c r="L44">
        <v>16</v>
      </c>
      <c r="M44">
        <v>4857</v>
      </c>
      <c r="N44" s="4">
        <f>M44*0.7</f>
        <v>3399.8999999999996</v>
      </c>
      <c r="O44" s="4">
        <f t="shared" si="2"/>
        <v>1457.1000000000004</v>
      </c>
    </row>
    <row r="45" spans="1:20" x14ac:dyDescent="0.25">
      <c r="L45">
        <v>16</v>
      </c>
      <c r="M45">
        <v>4098</v>
      </c>
      <c r="N45" s="4">
        <f t="shared" ref="N45:N46" si="4">M45*0.7</f>
        <v>2868.6</v>
      </c>
      <c r="O45" s="4">
        <f t="shared" si="2"/>
        <v>1229.4000000000001</v>
      </c>
    </row>
    <row r="46" spans="1:20" x14ac:dyDescent="0.25">
      <c r="L46">
        <v>16</v>
      </c>
      <c r="M46">
        <v>6030</v>
      </c>
      <c r="N46" s="4">
        <f t="shared" si="4"/>
        <v>4221</v>
      </c>
      <c r="O46" s="4">
        <f t="shared" si="2"/>
        <v>1809</v>
      </c>
    </row>
    <row r="47" spans="1:20" x14ac:dyDescent="0.25">
      <c r="L47">
        <v>24</v>
      </c>
      <c r="M47">
        <v>5629</v>
      </c>
      <c r="N47" s="4">
        <f>M47*0.63</f>
        <v>3546.27</v>
      </c>
      <c r="O47" s="4">
        <f t="shared" si="2"/>
        <v>2082.73</v>
      </c>
    </row>
    <row r="48" spans="1:20" x14ac:dyDescent="0.25">
      <c r="L48">
        <v>24</v>
      </c>
      <c r="M48">
        <v>5994</v>
      </c>
      <c r="N48" s="4">
        <f t="shared" ref="N48:N49" si="5">M48*0.63</f>
        <v>3776.22</v>
      </c>
      <c r="O48" s="4">
        <f t="shared" si="2"/>
        <v>2217.7800000000002</v>
      </c>
    </row>
    <row r="49" spans="12:15" x14ac:dyDescent="0.25">
      <c r="L49">
        <v>24</v>
      </c>
      <c r="M49">
        <v>7642</v>
      </c>
      <c r="N49" s="4">
        <f t="shared" si="5"/>
        <v>4814.46</v>
      </c>
      <c r="O49" s="4">
        <f t="shared" si="2"/>
        <v>2827.54</v>
      </c>
    </row>
    <row r="50" spans="12:15" x14ac:dyDescent="0.25">
      <c r="L50">
        <v>36</v>
      </c>
      <c r="M50">
        <v>6717</v>
      </c>
      <c r="N50" s="4">
        <f>M50*0.49</f>
        <v>3291.33</v>
      </c>
      <c r="O50" s="4">
        <f t="shared" si="2"/>
        <v>3425.67</v>
      </c>
    </row>
    <row r="51" spans="12:15" x14ac:dyDescent="0.25">
      <c r="L51">
        <v>36</v>
      </c>
      <c r="M51">
        <v>12415</v>
      </c>
      <c r="N51" s="4">
        <f t="shared" ref="N51:N52" si="6">M51*0.49</f>
        <v>6083.3499999999995</v>
      </c>
      <c r="O51" s="4">
        <f t="shared" si="2"/>
        <v>6331.6500000000005</v>
      </c>
    </row>
    <row r="52" spans="12:15" x14ac:dyDescent="0.25">
      <c r="L52">
        <v>36</v>
      </c>
      <c r="M52">
        <v>8756</v>
      </c>
      <c r="N52" s="4">
        <f t="shared" si="6"/>
        <v>4290.4399999999996</v>
      </c>
      <c r="O52" s="4">
        <f t="shared" si="2"/>
        <v>4465.5600000000004</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I46"/>
  <sheetViews>
    <sheetView topLeftCell="C5" workbookViewId="0">
      <selection activeCell="J33" sqref="J33"/>
    </sheetView>
  </sheetViews>
  <sheetFormatPr defaultColWidth="11" defaultRowHeight="15.75" x14ac:dyDescent="0.25"/>
  <cols>
    <col min="2" max="2" width="23.375" customWidth="1"/>
    <col min="6" max="6" width="14" customWidth="1"/>
  </cols>
  <sheetData>
    <row r="1" spans="1:9" x14ac:dyDescent="0.25">
      <c r="C1" t="s">
        <v>102</v>
      </c>
      <c r="D1">
        <v>21</v>
      </c>
    </row>
    <row r="3" spans="1:9" x14ac:dyDescent="0.25">
      <c r="A3" t="s">
        <v>75</v>
      </c>
      <c r="B3" t="s">
        <v>129</v>
      </c>
      <c r="C3" t="s">
        <v>130</v>
      </c>
      <c r="D3" t="s">
        <v>131</v>
      </c>
      <c r="E3" t="s">
        <v>132</v>
      </c>
      <c r="F3" t="s">
        <v>133</v>
      </c>
      <c r="H3" t="s">
        <v>134</v>
      </c>
    </row>
    <row r="4" spans="1:9" x14ac:dyDescent="0.25">
      <c r="A4" t="s">
        <v>136</v>
      </c>
      <c r="B4">
        <v>0</v>
      </c>
      <c r="C4">
        <f>B4/10</f>
        <v>0</v>
      </c>
      <c r="D4" s="4">
        <f>(C4*391*1000)/(2220000*10.9)</f>
        <v>0</v>
      </c>
      <c r="E4" s="4"/>
    </row>
    <row r="5" spans="1:9" x14ac:dyDescent="0.25">
      <c r="A5" t="s">
        <v>137</v>
      </c>
      <c r="B5">
        <v>60</v>
      </c>
      <c r="C5">
        <f>B5/2000</f>
        <v>0.03</v>
      </c>
      <c r="D5" s="2">
        <f>(C5*391*1000)/(2220000*10.9)</f>
        <v>4.8475080585172329E-4</v>
      </c>
      <c r="E5" s="4">
        <f>D5*1000*1000</f>
        <v>484.75080585172333</v>
      </c>
    </row>
    <row r="6" spans="1:9" x14ac:dyDescent="0.25">
      <c r="A6" t="s">
        <v>138</v>
      </c>
      <c r="B6">
        <v>61</v>
      </c>
      <c r="C6">
        <f t="shared" ref="C6:C31" si="0">B6/2000</f>
        <v>3.0499999999999999E-2</v>
      </c>
      <c r="D6" s="2">
        <f t="shared" ref="D6:D31" si="1">(C6*391*1000)/(2220000*10.9)</f>
        <v>4.92829985949252E-4</v>
      </c>
      <c r="E6" s="4">
        <f t="shared" ref="E6:E31" si="2">D6*1000*1000</f>
        <v>492.82998594925198</v>
      </c>
    </row>
    <row r="7" spans="1:9" x14ac:dyDescent="0.25">
      <c r="A7" t="s">
        <v>139</v>
      </c>
      <c r="B7">
        <v>64</v>
      </c>
      <c r="C7">
        <f t="shared" si="0"/>
        <v>3.2000000000000001E-2</v>
      </c>
      <c r="D7" s="2">
        <f t="shared" si="1"/>
        <v>5.1706752624183815E-4</v>
      </c>
      <c r="E7" s="4">
        <f t="shared" si="2"/>
        <v>517.06752624183821</v>
      </c>
    </row>
    <row r="8" spans="1:9" x14ac:dyDescent="0.25">
      <c r="A8" t="s">
        <v>181</v>
      </c>
      <c r="B8">
        <v>49</v>
      </c>
      <c r="C8">
        <f t="shared" si="0"/>
        <v>2.4500000000000001E-2</v>
      </c>
      <c r="D8" s="2">
        <f t="shared" si="1"/>
        <v>3.9587982477890741E-4</v>
      </c>
      <c r="E8" s="4">
        <f t="shared" si="2"/>
        <v>395.87982477890745</v>
      </c>
    </row>
    <row r="9" spans="1:9" x14ac:dyDescent="0.25">
      <c r="A9" t="s">
        <v>140</v>
      </c>
      <c r="B9">
        <v>48</v>
      </c>
      <c r="C9">
        <f t="shared" si="0"/>
        <v>2.4E-2</v>
      </c>
      <c r="D9" s="2">
        <f t="shared" si="1"/>
        <v>3.8780064468137864E-4</v>
      </c>
      <c r="E9" s="4">
        <f t="shared" si="2"/>
        <v>387.80064468137863</v>
      </c>
    </row>
    <row r="10" spans="1:9" x14ac:dyDescent="0.25">
      <c r="A10" t="s">
        <v>141</v>
      </c>
      <c r="B10">
        <v>51</v>
      </c>
      <c r="C10">
        <f t="shared" si="0"/>
        <v>2.5499999999999998E-2</v>
      </c>
      <c r="D10" s="2">
        <f t="shared" si="1"/>
        <v>4.1203818497396479E-4</v>
      </c>
      <c r="E10" s="4">
        <f t="shared" si="2"/>
        <v>412.03818497396475</v>
      </c>
    </row>
    <row r="11" spans="1:9" x14ac:dyDescent="0.25">
      <c r="A11" t="s">
        <v>143</v>
      </c>
      <c r="B11">
        <v>72</v>
      </c>
      <c r="C11">
        <f t="shared" si="0"/>
        <v>3.5999999999999997E-2</v>
      </c>
      <c r="D11" s="2">
        <f t="shared" si="1"/>
        <v>5.8170096702206788E-4</v>
      </c>
      <c r="E11" s="4">
        <f t="shared" si="2"/>
        <v>581.70096702206786</v>
      </c>
      <c r="F11" s="4">
        <f>AVERAGE(E11:E13)</f>
        <v>484.75080585172333</v>
      </c>
      <c r="G11" s="20">
        <f>STDEV(E11:E13)/F11</f>
        <v>0.19220937657784526</v>
      </c>
      <c r="H11" s="13">
        <f>E11/1000</f>
        <v>0.58170096702206786</v>
      </c>
      <c r="I11">
        <v>3</v>
      </c>
    </row>
    <row r="12" spans="1:9" x14ac:dyDescent="0.25">
      <c r="A12" t="s">
        <v>144</v>
      </c>
      <c r="B12">
        <v>59</v>
      </c>
      <c r="C12">
        <f t="shared" si="0"/>
        <v>2.9499999999999998E-2</v>
      </c>
      <c r="D12" s="2">
        <f t="shared" si="1"/>
        <v>4.7667162575419457E-4</v>
      </c>
      <c r="E12" s="4">
        <f t="shared" si="2"/>
        <v>476.67162575419457</v>
      </c>
      <c r="H12" s="13">
        <f t="shared" ref="H12:H28" si="3">E12/1000</f>
        <v>0.47667162575419458</v>
      </c>
      <c r="I12">
        <v>3</v>
      </c>
    </row>
    <row r="13" spans="1:9" x14ac:dyDescent="0.25">
      <c r="A13" t="s">
        <v>145</v>
      </c>
      <c r="B13">
        <v>49</v>
      </c>
      <c r="C13">
        <f t="shared" si="0"/>
        <v>2.4500000000000001E-2</v>
      </c>
      <c r="D13" s="2">
        <f t="shared" si="1"/>
        <v>3.9587982477890741E-4</v>
      </c>
      <c r="E13" s="4">
        <f t="shared" si="2"/>
        <v>395.87982477890745</v>
      </c>
      <c r="H13" s="13">
        <f t="shared" si="3"/>
        <v>0.39587982477890743</v>
      </c>
      <c r="I13">
        <v>3</v>
      </c>
    </row>
    <row r="14" spans="1:9" x14ac:dyDescent="0.25">
      <c r="A14" t="s">
        <v>146</v>
      </c>
      <c r="B14">
        <v>45</v>
      </c>
      <c r="C14">
        <f t="shared" si="0"/>
        <v>2.2499999999999999E-2</v>
      </c>
      <c r="D14" s="2">
        <f t="shared" si="1"/>
        <v>3.6356310438879244E-4</v>
      </c>
      <c r="E14" s="4">
        <f t="shared" si="2"/>
        <v>363.5631043887924</v>
      </c>
      <c r="F14" s="4">
        <f>AVERAGE(E14:E16)</f>
        <v>371.64228448632122</v>
      </c>
      <c r="G14" s="20">
        <f>STDEV(E14:E16)/F14</f>
        <v>5.7516332849230412E-2</v>
      </c>
      <c r="H14" s="13">
        <f t="shared" si="3"/>
        <v>0.36356310438879241</v>
      </c>
      <c r="I14">
        <v>6</v>
      </c>
    </row>
    <row r="15" spans="1:9" x14ac:dyDescent="0.25">
      <c r="A15" t="s">
        <v>147</v>
      </c>
      <c r="B15">
        <v>44</v>
      </c>
      <c r="C15">
        <f t="shared" si="0"/>
        <v>2.1999999999999999E-2</v>
      </c>
      <c r="D15" s="2">
        <f t="shared" si="1"/>
        <v>3.5548392429126372E-4</v>
      </c>
      <c r="E15" s="4">
        <f t="shared" si="2"/>
        <v>355.48392429126375</v>
      </c>
      <c r="H15" s="13">
        <f t="shared" si="3"/>
        <v>0.35548392429126374</v>
      </c>
      <c r="I15">
        <v>6</v>
      </c>
    </row>
    <row r="16" spans="1:9" x14ac:dyDescent="0.25">
      <c r="A16" t="s">
        <v>148</v>
      </c>
      <c r="B16">
        <v>49</v>
      </c>
      <c r="C16">
        <f t="shared" si="0"/>
        <v>2.4500000000000001E-2</v>
      </c>
      <c r="D16" s="2">
        <f t="shared" si="1"/>
        <v>3.9587982477890741E-4</v>
      </c>
      <c r="E16" s="4">
        <f t="shared" si="2"/>
        <v>395.87982477890745</v>
      </c>
      <c r="H16" s="13">
        <f t="shared" si="3"/>
        <v>0.39587982477890743</v>
      </c>
      <c r="I16">
        <v>6</v>
      </c>
    </row>
    <row r="17" spans="1:9" x14ac:dyDescent="0.25">
      <c r="A17" t="s">
        <v>149</v>
      </c>
      <c r="B17">
        <v>43</v>
      </c>
      <c r="C17">
        <f t="shared" si="0"/>
        <v>2.1499999999999998E-2</v>
      </c>
      <c r="D17" s="2">
        <f t="shared" si="1"/>
        <v>3.4740474419373501E-4</v>
      </c>
      <c r="E17" s="4">
        <f t="shared" si="2"/>
        <v>347.40474419373504</v>
      </c>
      <c r="F17" s="4">
        <f>AVERAGE(E17:E19)</f>
        <v>360.8700443562829</v>
      </c>
      <c r="G17" s="20">
        <f>STDEV(E17:E19)/F17</f>
        <v>4.6604462674614912E-2</v>
      </c>
      <c r="H17" s="13">
        <f t="shared" si="3"/>
        <v>0.34740474419373502</v>
      </c>
      <c r="I17">
        <v>12</v>
      </c>
    </row>
    <row r="18" spans="1:9" x14ac:dyDescent="0.25">
      <c r="A18" t="s">
        <v>150</v>
      </c>
      <c r="B18">
        <v>44</v>
      </c>
      <c r="C18">
        <f t="shared" si="0"/>
        <v>2.1999999999999999E-2</v>
      </c>
      <c r="D18" s="2">
        <f t="shared" si="1"/>
        <v>3.5548392429126372E-4</v>
      </c>
      <c r="E18" s="4">
        <f t="shared" si="2"/>
        <v>355.48392429126375</v>
      </c>
      <c r="H18" s="13">
        <f t="shared" si="3"/>
        <v>0.35548392429126374</v>
      </c>
      <c r="I18">
        <v>12</v>
      </c>
    </row>
    <row r="19" spans="1:9" x14ac:dyDescent="0.25">
      <c r="A19" t="s">
        <v>151</v>
      </c>
      <c r="B19">
        <v>47</v>
      </c>
      <c r="C19">
        <f t="shared" si="0"/>
        <v>2.35E-2</v>
      </c>
      <c r="D19" s="2">
        <f t="shared" si="1"/>
        <v>3.7972146458384993E-4</v>
      </c>
      <c r="E19" s="4">
        <f t="shared" si="2"/>
        <v>379.72146458384992</v>
      </c>
      <c r="H19" s="13">
        <f t="shared" si="3"/>
        <v>0.37972146458384992</v>
      </c>
      <c r="I19">
        <v>12</v>
      </c>
    </row>
    <row r="20" spans="1:9" x14ac:dyDescent="0.25">
      <c r="A20" t="s">
        <v>182</v>
      </c>
      <c r="B20">
        <v>39</v>
      </c>
      <c r="C20">
        <f t="shared" si="0"/>
        <v>1.95E-2</v>
      </c>
      <c r="D20" s="2">
        <f t="shared" si="1"/>
        <v>3.1508802380362014E-4</v>
      </c>
      <c r="E20" s="4">
        <f t="shared" si="2"/>
        <v>315.08802380362016</v>
      </c>
      <c r="F20" s="4">
        <f>AVERAGE(E20:E22)</f>
        <v>328.55332396616797</v>
      </c>
      <c r="G20" s="20">
        <f>STDEV(E20:E22)/F20</f>
        <v>0.23628746402294412</v>
      </c>
      <c r="H20" s="13">
        <f t="shared" si="3"/>
        <v>0.31508802380362017</v>
      </c>
      <c r="I20">
        <v>16</v>
      </c>
    </row>
    <row r="21" spans="1:9" x14ac:dyDescent="0.25">
      <c r="A21" t="s">
        <v>183</v>
      </c>
      <c r="B21">
        <v>32</v>
      </c>
      <c r="C21">
        <f t="shared" si="0"/>
        <v>1.6E-2</v>
      </c>
      <c r="D21" s="2">
        <f t="shared" si="1"/>
        <v>2.5853376312091908E-4</v>
      </c>
      <c r="E21" s="4">
        <f t="shared" si="2"/>
        <v>258.5337631209191</v>
      </c>
      <c r="H21" s="13">
        <f t="shared" si="3"/>
        <v>0.25853376312091908</v>
      </c>
      <c r="I21">
        <v>16</v>
      </c>
    </row>
    <row r="22" spans="1:9" x14ac:dyDescent="0.25">
      <c r="A22" t="s">
        <v>184</v>
      </c>
      <c r="B22">
        <v>51</v>
      </c>
      <c r="C22">
        <f t="shared" si="0"/>
        <v>2.5499999999999998E-2</v>
      </c>
      <c r="D22" s="2">
        <f t="shared" si="1"/>
        <v>4.1203818497396479E-4</v>
      </c>
      <c r="E22" s="4">
        <f t="shared" si="2"/>
        <v>412.03818497396475</v>
      </c>
      <c r="H22" s="13">
        <f t="shared" si="3"/>
        <v>0.41203818497396477</v>
      </c>
      <c r="I22">
        <v>16</v>
      </c>
    </row>
    <row r="23" spans="1:9" x14ac:dyDescent="0.25">
      <c r="A23" t="s">
        <v>152</v>
      </c>
      <c r="B23">
        <v>33</v>
      </c>
      <c r="C23">
        <f t="shared" si="0"/>
        <v>1.6500000000000001E-2</v>
      </c>
      <c r="D23" s="2">
        <f t="shared" si="1"/>
        <v>2.6661294321844779E-4</v>
      </c>
      <c r="E23" s="4">
        <f t="shared" si="2"/>
        <v>266.61294321844781</v>
      </c>
      <c r="F23" s="4">
        <f>AVERAGE(E23:E25)</f>
        <v>296.23660357605314</v>
      </c>
      <c r="G23" s="20">
        <f>STDEV(E23:E25)/F23</f>
        <v>8.7669552372663231E-2</v>
      </c>
      <c r="H23" s="13">
        <f t="shared" si="3"/>
        <v>0.26661294321844781</v>
      </c>
      <c r="I23">
        <v>24</v>
      </c>
    </row>
    <row r="24" spans="1:9" x14ac:dyDescent="0.25">
      <c r="A24" t="s">
        <v>153</v>
      </c>
      <c r="B24">
        <v>38</v>
      </c>
      <c r="C24">
        <f t="shared" si="0"/>
        <v>1.9E-2</v>
      </c>
      <c r="D24" s="2">
        <f t="shared" si="1"/>
        <v>3.0700884370609137E-4</v>
      </c>
      <c r="E24" s="4">
        <f t="shared" si="2"/>
        <v>307.0088437060914</v>
      </c>
      <c r="H24" s="13">
        <f t="shared" si="3"/>
        <v>0.30700884370609138</v>
      </c>
      <c r="I24">
        <v>24</v>
      </c>
    </row>
    <row r="25" spans="1:9" x14ac:dyDescent="0.25">
      <c r="A25" t="s">
        <v>154</v>
      </c>
      <c r="B25">
        <v>39</v>
      </c>
      <c r="C25">
        <f t="shared" si="0"/>
        <v>1.95E-2</v>
      </c>
      <c r="D25" s="2">
        <f t="shared" si="1"/>
        <v>3.1508802380362014E-4</v>
      </c>
      <c r="E25" s="4">
        <f t="shared" si="2"/>
        <v>315.08802380362016</v>
      </c>
      <c r="H25" s="13">
        <f t="shared" si="3"/>
        <v>0.31508802380362017</v>
      </c>
      <c r="I25">
        <v>24</v>
      </c>
    </row>
    <row r="26" spans="1:9" x14ac:dyDescent="0.25">
      <c r="A26" t="s">
        <v>155</v>
      </c>
      <c r="B26">
        <v>34</v>
      </c>
      <c r="C26">
        <f t="shared" si="0"/>
        <v>1.7000000000000001E-2</v>
      </c>
      <c r="D26" s="2">
        <f t="shared" si="1"/>
        <v>2.7469212331597651E-4</v>
      </c>
      <c r="E26" s="4">
        <f t="shared" si="2"/>
        <v>274.69212331597652</v>
      </c>
      <c r="F26" s="4">
        <f>AVERAGE(E26:E28)</f>
        <v>328.55332396616797</v>
      </c>
      <c r="G26" s="20">
        <f>STDEV(E26:E28)/F26</f>
        <v>0.17271563529266756</v>
      </c>
      <c r="H26" s="13">
        <f t="shared" si="3"/>
        <v>0.27469212331597653</v>
      </c>
      <c r="I26">
        <v>36</v>
      </c>
    </row>
    <row r="27" spans="1:9" x14ac:dyDescent="0.25">
      <c r="A27" t="s">
        <v>156</v>
      </c>
      <c r="B27">
        <v>40</v>
      </c>
      <c r="C27">
        <f t="shared" si="0"/>
        <v>0.02</v>
      </c>
      <c r="D27" s="2">
        <f t="shared" si="1"/>
        <v>3.2316720390114886E-4</v>
      </c>
      <c r="E27" s="4">
        <f t="shared" si="2"/>
        <v>323.16720390114881</v>
      </c>
      <c r="H27" s="13">
        <f t="shared" si="3"/>
        <v>0.32316720390114884</v>
      </c>
      <c r="I27">
        <v>36</v>
      </c>
    </row>
    <row r="28" spans="1:9" x14ac:dyDescent="0.25">
      <c r="A28" t="s">
        <v>157</v>
      </c>
      <c r="B28">
        <v>48</v>
      </c>
      <c r="C28">
        <f t="shared" si="0"/>
        <v>2.4E-2</v>
      </c>
      <c r="D28" s="2">
        <f t="shared" si="1"/>
        <v>3.8780064468137864E-4</v>
      </c>
      <c r="E28" s="4">
        <f t="shared" si="2"/>
        <v>387.80064468137863</v>
      </c>
      <c r="H28" s="13">
        <f t="shared" si="3"/>
        <v>0.38780064468137865</v>
      </c>
      <c r="I28">
        <v>36</v>
      </c>
    </row>
    <row r="29" spans="1:9" x14ac:dyDescent="0.25">
      <c r="A29" t="s">
        <v>99</v>
      </c>
      <c r="B29">
        <v>0</v>
      </c>
      <c r="C29">
        <f t="shared" si="0"/>
        <v>0</v>
      </c>
      <c r="D29" s="2">
        <f t="shared" si="1"/>
        <v>0</v>
      </c>
      <c r="E29" s="4">
        <f t="shared" si="2"/>
        <v>0</v>
      </c>
      <c r="F29" s="4">
        <f>AVERAGE(E29:E31)</f>
        <v>0</v>
      </c>
    </row>
    <row r="30" spans="1:9" x14ac:dyDescent="0.25">
      <c r="A30" t="s">
        <v>100</v>
      </c>
      <c r="B30">
        <v>0</v>
      </c>
      <c r="C30">
        <f t="shared" si="0"/>
        <v>0</v>
      </c>
      <c r="D30" s="2">
        <f t="shared" si="1"/>
        <v>0</v>
      </c>
      <c r="E30" s="4">
        <f t="shared" si="2"/>
        <v>0</v>
      </c>
    </row>
    <row r="31" spans="1:9" x14ac:dyDescent="0.25">
      <c r="A31" t="s">
        <v>101</v>
      </c>
      <c r="B31">
        <v>0</v>
      </c>
      <c r="C31">
        <f t="shared" si="0"/>
        <v>0</v>
      </c>
      <c r="D31" s="2">
        <f t="shared" si="1"/>
        <v>0</v>
      </c>
      <c r="E31" s="4">
        <f t="shared" si="2"/>
        <v>0</v>
      </c>
    </row>
    <row r="32" spans="1:9" x14ac:dyDescent="0.25">
      <c r="D32" s="2"/>
      <c r="E32" s="4"/>
    </row>
    <row r="33" spans="1:5" x14ac:dyDescent="0.25">
      <c r="D33" s="2"/>
      <c r="E33" s="4"/>
    </row>
    <row r="34" spans="1:5" x14ac:dyDescent="0.25">
      <c r="A34" s="14" t="s">
        <v>164</v>
      </c>
      <c r="B34" s="14">
        <f t="array" ref="B34:C38">LINEST(E11:E28,I11:I28,TRUE,TRUE)</f>
        <v>-3.8492836698812574</v>
      </c>
      <c r="C34" s="15">
        <v>423.99781703019977</v>
      </c>
      <c r="D34" s="16" t="s">
        <v>165</v>
      </c>
      <c r="E34" s="17"/>
    </row>
    <row r="35" spans="1:5" x14ac:dyDescent="0.25">
      <c r="A35" s="14" t="s">
        <v>166</v>
      </c>
      <c r="B35" s="14">
        <v>1.4011942023030952</v>
      </c>
      <c r="C35" s="15">
        <v>27.535040739572825</v>
      </c>
      <c r="D35" s="16" t="s">
        <v>166</v>
      </c>
      <c r="E35" s="17"/>
    </row>
    <row r="36" spans="1:5" x14ac:dyDescent="0.25">
      <c r="A36" s="14" t="s">
        <v>167</v>
      </c>
      <c r="B36" s="14">
        <v>0.32050231458743383</v>
      </c>
      <c r="C36" s="15">
        <v>66.412762140296337</v>
      </c>
      <c r="D36" s="16" t="s">
        <v>168</v>
      </c>
      <c r="E36" s="17"/>
    </row>
    <row r="37" spans="1:5" x14ac:dyDescent="0.25">
      <c r="A37" s="14" t="s">
        <v>169</v>
      </c>
      <c r="B37" s="14">
        <v>7.5468057411930474</v>
      </c>
      <c r="C37" s="15">
        <v>16</v>
      </c>
      <c r="D37" s="16" t="s">
        <v>170</v>
      </c>
      <c r="E37" s="17"/>
    </row>
    <row r="38" spans="1:5" x14ac:dyDescent="0.25">
      <c r="A38" s="14" t="s">
        <v>171</v>
      </c>
      <c r="B38" s="14">
        <v>33286.356288533367</v>
      </c>
      <c r="C38" s="15">
        <v>70570.479601657265</v>
      </c>
      <c r="D38" s="16" t="s">
        <v>172</v>
      </c>
      <c r="E38" s="17"/>
    </row>
    <row r="39" spans="1:5" x14ac:dyDescent="0.25">
      <c r="D39" s="2"/>
      <c r="E39" s="4"/>
    </row>
    <row r="40" spans="1:5" x14ac:dyDescent="0.25">
      <c r="D40" s="2"/>
      <c r="E40" s="4"/>
    </row>
    <row r="41" spans="1:5" x14ac:dyDescent="0.25">
      <c r="A41" s="14" t="s">
        <v>173</v>
      </c>
      <c r="B41" s="14">
        <f>B34/B35</f>
        <v>-2.7471450164112303</v>
      </c>
      <c r="D41" s="2"/>
      <c r="E41" s="4"/>
    </row>
    <row r="42" spans="1:5" x14ac:dyDescent="0.25">
      <c r="A42" s="14" t="s">
        <v>174</v>
      </c>
      <c r="B42" s="14">
        <f>TDIST(ABS(B41),C37,2)</f>
        <v>1.4317846181074845E-2</v>
      </c>
      <c r="C42" t="s">
        <v>190</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1:G27"/>
  <sheetViews>
    <sheetView workbookViewId="0">
      <selection activeCell="F32" sqref="F32"/>
    </sheetView>
  </sheetViews>
  <sheetFormatPr defaultColWidth="11" defaultRowHeight="15.75" x14ac:dyDescent="0.25"/>
  <cols>
    <col min="2" max="2" width="24.125" customWidth="1"/>
    <col min="3" max="3" width="27.875" customWidth="1"/>
    <col min="4" max="4" width="17.5" customWidth="1"/>
    <col min="5" max="5" width="7.875" customWidth="1"/>
    <col min="6" max="6" width="21.5" customWidth="1"/>
  </cols>
  <sheetData>
    <row r="1" spans="1:7" x14ac:dyDescent="0.25">
      <c r="A1" s="1" t="s">
        <v>194</v>
      </c>
    </row>
    <row r="3" spans="1:7" x14ac:dyDescent="0.25">
      <c r="A3" t="s">
        <v>75</v>
      </c>
      <c r="B3" t="s">
        <v>76</v>
      </c>
      <c r="C3" t="s">
        <v>77</v>
      </c>
      <c r="D3" t="s">
        <v>78</v>
      </c>
      <c r="E3" t="s">
        <v>79</v>
      </c>
      <c r="F3" t="s">
        <v>80</v>
      </c>
    </row>
    <row r="4" spans="1:7" x14ac:dyDescent="0.25">
      <c r="A4" t="s">
        <v>81</v>
      </c>
      <c r="B4">
        <v>5.348E-2</v>
      </c>
      <c r="C4">
        <v>5.5E-2</v>
      </c>
      <c r="D4">
        <f>C4-B4</f>
        <v>1.5200000000000005E-3</v>
      </c>
      <c r="E4">
        <v>15</v>
      </c>
      <c r="F4" s="2">
        <f>D4/E4</f>
        <v>1.0133333333333336E-4</v>
      </c>
      <c r="G4" s="10"/>
    </row>
    <row r="5" spans="1:7" x14ac:dyDescent="0.25">
      <c r="A5" t="s">
        <v>82</v>
      </c>
      <c r="B5">
        <v>5.8860000000000003E-2</v>
      </c>
      <c r="C5">
        <v>6.0049999999999999E-2</v>
      </c>
      <c r="D5">
        <f t="shared" ref="D5:D24" si="0">C5-B5</f>
        <v>1.1899999999999966E-3</v>
      </c>
      <c r="E5">
        <v>15</v>
      </c>
      <c r="F5" s="2">
        <f t="shared" ref="F5:F24" si="1">D5/E5</f>
        <v>7.9333333333333111E-5</v>
      </c>
    </row>
    <row r="6" spans="1:7" x14ac:dyDescent="0.25">
      <c r="A6" t="s">
        <v>83</v>
      </c>
      <c r="B6">
        <v>6.4119999999999996E-2</v>
      </c>
      <c r="C6">
        <v>6.522E-2</v>
      </c>
      <c r="D6">
        <f t="shared" si="0"/>
        <v>1.1000000000000038E-3</v>
      </c>
      <c r="E6">
        <v>15</v>
      </c>
      <c r="F6" s="2">
        <f t="shared" si="1"/>
        <v>7.3333333333333589E-5</v>
      </c>
    </row>
    <row r="7" spans="1:7" x14ac:dyDescent="0.25">
      <c r="A7" t="s">
        <v>84</v>
      </c>
      <c r="B7">
        <v>6.7589999999999997E-2</v>
      </c>
      <c r="C7">
        <v>6.9099999999999995E-2</v>
      </c>
      <c r="D7">
        <f t="shared" si="0"/>
        <v>1.5099999999999975E-3</v>
      </c>
      <c r="E7">
        <v>15</v>
      </c>
      <c r="F7" s="2">
        <f t="shared" si="1"/>
        <v>1.0066666666666649E-4</v>
      </c>
    </row>
    <row r="8" spans="1:7" x14ac:dyDescent="0.25">
      <c r="A8" t="s">
        <v>85</v>
      </c>
      <c r="B8">
        <v>5.9229999999999998E-2</v>
      </c>
      <c r="C8">
        <v>6.0970000000000003E-2</v>
      </c>
      <c r="D8">
        <f t="shared" si="0"/>
        <v>1.7400000000000054E-3</v>
      </c>
      <c r="E8">
        <v>14</v>
      </c>
      <c r="F8" s="2">
        <f t="shared" si="1"/>
        <v>1.2428571428571466E-4</v>
      </c>
    </row>
    <row r="9" spans="1:7" x14ac:dyDescent="0.25">
      <c r="A9" t="s">
        <v>86</v>
      </c>
      <c r="B9">
        <v>6.3509999999999997E-2</v>
      </c>
      <c r="C9">
        <v>6.4829999999999999E-2</v>
      </c>
      <c r="D9">
        <f t="shared" si="0"/>
        <v>1.3200000000000017E-3</v>
      </c>
      <c r="E9">
        <v>15</v>
      </c>
      <c r="F9" s="2">
        <f t="shared" si="1"/>
        <v>8.800000000000012E-5</v>
      </c>
    </row>
    <row r="10" spans="1:7" x14ac:dyDescent="0.25">
      <c r="A10" t="s">
        <v>87</v>
      </c>
      <c r="B10">
        <v>6.5119999999999997E-2</v>
      </c>
      <c r="C10">
        <v>6.6170000000000007E-2</v>
      </c>
      <c r="D10">
        <f t="shared" si="0"/>
        <v>1.0500000000000093E-3</v>
      </c>
      <c r="E10">
        <v>15</v>
      </c>
      <c r="F10" s="2">
        <f t="shared" si="1"/>
        <v>7.0000000000000617E-5</v>
      </c>
    </row>
    <row r="11" spans="1:7" x14ac:dyDescent="0.25">
      <c r="A11" t="s">
        <v>88</v>
      </c>
      <c r="B11">
        <v>6.6820000000000004E-2</v>
      </c>
      <c r="C11">
        <v>6.8269999999999997E-2</v>
      </c>
      <c r="D11">
        <f t="shared" si="0"/>
        <v>1.449999999999993E-3</v>
      </c>
      <c r="E11">
        <v>15</v>
      </c>
      <c r="F11" s="2">
        <f t="shared" si="1"/>
        <v>9.6666666666666193E-5</v>
      </c>
    </row>
    <row r="12" spans="1:7" x14ac:dyDescent="0.25">
      <c r="A12" t="s">
        <v>89</v>
      </c>
      <c r="B12">
        <v>6.9540000000000005E-2</v>
      </c>
      <c r="C12">
        <v>7.0680000000000007E-2</v>
      </c>
      <c r="D12">
        <f t="shared" si="0"/>
        <v>1.1400000000000021E-3</v>
      </c>
      <c r="E12">
        <v>13</v>
      </c>
      <c r="F12" s="2">
        <f>D12/E12</f>
        <v>8.7692307692307858E-5</v>
      </c>
    </row>
    <row r="13" spans="1:7" x14ac:dyDescent="0.25">
      <c r="A13" t="s">
        <v>177</v>
      </c>
      <c r="B13">
        <v>6.5589999999999996E-2</v>
      </c>
      <c r="C13">
        <v>6.7369999999999999E-2</v>
      </c>
      <c r="D13">
        <f t="shared" si="0"/>
        <v>1.7800000000000038E-3</v>
      </c>
      <c r="E13">
        <v>17</v>
      </c>
      <c r="F13" s="2">
        <f t="shared" si="1"/>
        <v>1.047058823529414E-4</v>
      </c>
    </row>
    <row r="14" spans="1:7" x14ac:dyDescent="0.25">
      <c r="A14" t="s">
        <v>178</v>
      </c>
      <c r="B14">
        <v>6.2740000000000004E-2</v>
      </c>
      <c r="C14">
        <v>6.4100000000000004E-2</v>
      </c>
      <c r="D14">
        <f t="shared" si="0"/>
        <v>1.3600000000000001E-3</v>
      </c>
      <c r="E14">
        <v>15</v>
      </c>
      <c r="F14" s="2">
        <f t="shared" si="1"/>
        <v>9.066666666666667E-5</v>
      </c>
    </row>
    <row r="15" spans="1:7" x14ac:dyDescent="0.25">
      <c r="A15" t="s">
        <v>179</v>
      </c>
      <c r="B15">
        <v>6.3979999999999995E-2</v>
      </c>
      <c r="C15">
        <v>6.5500000000000003E-2</v>
      </c>
      <c r="D15">
        <f t="shared" si="0"/>
        <v>1.5200000000000075E-3</v>
      </c>
      <c r="E15">
        <v>16</v>
      </c>
      <c r="F15" s="2">
        <f t="shared" si="1"/>
        <v>9.5000000000000466E-5</v>
      </c>
    </row>
    <row r="16" spans="1:7" x14ac:dyDescent="0.25">
      <c r="A16" t="s">
        <v>90</v>
      </c>
      <c r="B16">
        <v>6.2630000000000005E-2</v>
      </c>
      <c r="C16">
        <v>6.4140000000000003E-2</v>
      </c>
      <c r="D16">
        <f t="shared" si="0"/>
        <v>1.5099999999999975E-3</v>
      </c>
      <c r="E16">
        <v>15</v>
      </c>
      <c r="F16" s="2">
        <f t="shared" si="1"/>
        <v>1.0066666666666649E-4</v>
      </c>
    </row>
    <row r="17" spans="1:6" x14ac:dyDescent="0.25">
      <c r="A17" t="s">
        <v>91</v>
      </c>
      <c r="B17">
        <v>4.9009999999999998E-2</v>
      </c>
      <c r="C17">
        <v>5.0659999999999997E-2</v>
      </c>
      <c r="D17">
        <f t="shared" si="0"/>
        <v>1.6499999999999987E-3</v>
      </c>
      <c r="E17">
        <v>15</v>
      </c>
      <c r="F17" s="2">
        <f t="shared" si="1"/>
        <v>1.0999999999999991E-4</v>
      </c>
    </row>
    <row r="18" spans="1:6" x14ac:dyDescent="0.25">
      <c r="A18" t="s">
        <v>92</v>
      </c>
      <c r="B18">
        <v>5.4890000000000001E-2</v>
      </c>
      <c r="C18">
        <v>5.6149999999999999E-2</v>
      </c>
      <c r="D18">
        <f t="shared" si="0"/>
        <v>1.2599999999999972E-3</v>
      </c>
      <c r="E18">
        <v>15</v>
      </c>
      <c r="F18" s="2">
        <f t="shared" si="1"/>
        <v>8.3999999999999819E-5</v>
      </c>
    </row>
    <row r="19" spans="1:6" x14ac:dyDescent="0.25">
      <c r="A19" t="s">
        <v>93</v>
      </c>
      <c r="B19">
        <v>6.5259999999999999E-2</v>
      </c>
      <c r="C19">
        <v>6.6610000000000003E-2</v>
      </c>
      <c r="D19">
        <f t="shared" si="0"/>
        <v>1.350000000000004E-3</v>
      </c>
      <c r="E19">
        <v>15</v>
      </c>
      <c r="F19" s="2">
        <f t="shared" si="1"/>
        <v>9.0000000000000263E-5</v>
      </c>
    </row>
    <row r="20" spans="1:6" x14ac:dyDescent="0.25">
      <c r="A20" t="s">
        <v>94</v>
      </c>
      <c r="B20">
        <v>5.1090000000000003E-2</v>
      </c>
      <c r="C20">
        <v>5.2179999999999997E-2</v>
      </c>
      <c r="D20">
        <f t="shared" si="0"/>
        <v>1.0899999999999938E-3</v>
      </c>
      <c r="E20">
        <v>14</v>
      </c>
      <c r="F20" s="2">
        <f t="shared" si="1"/>
        <v>7.7857142857142413E-5</v>
      </c>
    </row>
    <row r="21" spans="1:6" x14ac:dyDescent="0.25">
      <c r="A21" t="s">
        <v>95</v>
      </c>
      <c r="B21">
        <v>6.8459999999999993E-2</v>
      </c>
      <c r="C21">
        <v>6.9989999999999997E-2</v>
      </c>
      <c r="D21">
        <f t="shared" si="0"/>
        <v>1.5300000000000036E-3</v>
      </c>
      <c r="E21">
        <v>15</v>
      </c>
      <c r="F21" s="2">
        <f t="shared" si="1"/>
        <v>1.0200000000000024E-4</v>
      </c>
    </row>
    <row r="22" spans="1:6" x14ac:dyDescent="0.25">
      <c r="A22" t="s">
        <v>99</v>
      </c>
      <c r="B22">
        <v>5.7709999999999997E-2</v>
      </c>
      <c r="C22">
        <v>5.8790000000000002E-2</v>
      </c>
      <c r="D22">
        <f t="shared" si="0"/>
        <v>1.0800000000000046E-3</v>
      </c>
      <c r="E22">
        <v>15</v>
      </c>
      <c r="F22" s="2">
        <f t="shared" si="1"/>
        <v>7.20000000000003E-5</v>
      </c>
    </row>
    <row r="23" spans="1:6" x14ac:dyDescent="0.25">
      <c r="A23" t="s">
        <v>100</v>
      </c>
      <c r="B23">
        <v>7.2160000000000002E-2</v>
      </c>
      <c r="C23">
        <v>7.3190000000000005E-2</v>
      </c>
      <c r="D23">
        <f t="shared" si="0"/>
        <v>1.0300000000000031E-3</v>
      </c>
      <c r="E23">
        <v>15</v>
      </c>
      <c r="F23" s="2">
        <f t="shared" si="1"/>
        <v>6.8666666666666881E-5</v>
      </c>
    </row>
    <row r="24" spans="1:6" x14ac:dyDescent="0.25">
      <c r="A24" t="s">
        <v>101</v>
      </c>
      <c r="B24">
        <v>7.9299999999999995E-2</v>
      </c>
      <c r="C24">
        <v>8.0420000000000005E-2</v>
      </c>
      <c r="D24">
        <f t="shared" si="0"/>
        <v>1.1200000000000099E-3</v>
      </c>
      <c r="E24">
        <v>15</v>
      </c>
      <c r="F24" s="2">
        <f t="shared" si="1"/>
        <v>7.4666666666667325E-5</v>
      </c>
    </row>
    <row r="25" spans="1:6" x14ac:dyDescent="0.25">
      <c r="F25" s="2"/>
    </row>
    <row r="26" spans="1:6" x14ac:dyDescent="0.25">
      <c r="F26" s="2"/>
    </row>
    <row r="27" spans="1:6" x14ac:dyDescent="0.25">
      <c r="F27" s="2"/>
    </row>
  </sheetData>
  <dataConsolid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sheetPr>
  <dimension ref="A1:O52"/>
  <sheetViews>
    <sheetView topLeftCell="A21" workbookViewId="0">
      <selection activeCell="H21" sqref="H21"/>
    </sheetView>
  </sheetViews>
  <sheetFormatPr defaultColWidth="11" defaultRowHeight="15.75" x14ac:dyDescent="0.25"/>
  <cols>
    <col min="1" max="1" width="13" customWidth="1"/>
    <col min="2" max="2" width="23.625" customWidth="1"/>
    <col min="3" max="3" width="9.5" customWidth="1"/>
    <col min="4" max="4" width="9.625" customWidth="1"/>
    <col min="5" max="5" width="15.375" customWidth="1"/>
    <col min="10" max="10" width="15.375" customWidth="1"/>
  </cols>
  <sheetData>
    <row r="1" spans="1:10" x14ac:dyDescent="0.25">
      <c r="D1" t="s">
        <v>102</v>
      </c>
      <c r="E1">
        <v>20</v>
      </c>
    </row>
    <row r="3" spans="1:10" x14ac:dyDescent="0.25">
      <c r="A3" t="s">
        <v>75</v>
      </c>
      <c r="B3" t="s">
        <v>103</v>
      </c>
      <c r="C3" t="s">
        <v>104</v>
      </c>
      <c r="D3" t="s">
        <v>105</v>
      </c>
      <c r="E3" t="s">
        <v>106</v>
      </c>
    </row>
    <row r="4" spans="1:10" x14ac:dyDescent="0.25">
      <c r="A4" t="s">
        <v>108</v>
      </c>
      <c r="B4">
        <v>2</v>
      </c>
      <c r="D4">
        <v>0</v>
      </c>
      <c r="E4">
        <v>0</v>
      </c>
      <c r="G4">
        <v>0</v>
      </c>
    </row>
    <row r="5" spans="1:10" x14ac:dyDescent="0.25">
      <c r="A5" t="s">
        <v>109</v>
      </c>
      <c r="B5">
        <v>0</v>
      </c>
      <c r="D5">
        <v>0</v>
      </c>
      <c r="E5">
        <v>0</v>
      </c>
      <c r="G5">
        <v>0</v>
      </c>
    </row>
    <row r="6" spans="1:10" x14ac:dyDescent="0.25">
      <c r="A6" t="s">
        <v>81</v>
      </c>
      <c r="B6">
        <v>351</v>
      </c>
      <c r="C6" s="4">
        <f>(B6*391)/(2220000*10.9)*1000/'Mosher Masses 0.2 28'!D4</f>
        <v>3731.3055450428687</v>
      </c>
      <c r="D6" s="5">
        <f>(B6*391)/(2220000*10.9)*1000/'Mosher Masses 0.2 28'!E4</f>
        <v>0.37810562856434415</v>
      </c>
      <c r="E6" s="4">
        <f>AVERAGE(C6:C8)</f>
        <v>3039.4161822215897</v>
      </c>
      <c r="F6" s="11">
        <f>STDEV(C6:C8)/E6</f>
        <v>0.1978092812670213</v>
      </c>
      <c r="G6">
        <v>3</v>
      </c>
      <c r="I6" t="s">
        <v>110</v>
      </c>
      <c r="J6" t="s">
        <v>106</v>
      </c>
    </row>
    <row r="7" spans="1:10" x14ac:dyDescent="0.25">
      <c r="A7" t="s">
        <v>82</v>
      </c>
      <c r="B7">
        <v>202</v>
      </c>
      <c r="C7" s="4">
        <f>(B7*391)/(2220000*10.9)*1000/'Mosher Masses 0.2 28'!D5</f>
        <v>2742.847696976145</v>
      </c>
      <c r="D7" s="5">
        <f>(B7*391)/(2220000*10.9)*1000/'Mosher Masses 0.2 28'!E5</f>
        <v>0.21759925062677354</v>
      </c>
      <c r="G7">
        <v>3</v>
      </c>
      <c r="I7">
        <v>3</v>
      </c>
      <c r="J7">
        <v>3039</v>
      </c>
    </row>
    <row r="8" spans="1:10" x14ac:dyDescent="0.25">
      <c r="A8" t="s">
        <v>83</v>
      </c>
      <c r="B8">
        <v>180</v>
      </c>
      <c r="C8" s="4">
        <f>(B8*391)/(2220000*10.9)*1000/'Mosher Masses 0.2 28'!D6</f>
        <v>2644.0953046457539</v>
      </c>
      <c r="D8" s="5">
        <f>(B8*391)/(2220000*10.9)*1000/'Mosher Masses 0.2 28'!E6</f>
        <v>0.1939003223406893</v>
      </c>
      <c r="G8">
        <v>3</v>
      </c>
      <c r="I8">
        <v>6</v>
      </c>
      <c r="J8">
        <v>3481</v>
      </c>
    </row>
    <row r="9" spans="1:10" x14ac:dyDescent="0.25">
      <c r="A9" t="s">
        <v>84</v>
      </c>
      <c r="B9">
        <v>262</v>
      </c>
      <c r="C9" s="4">
        <f>(B9*391)/(2220000*10.9)*1000/'Mosher Masses 0.2 28'!D7</f>
        <v>2803.6360073543424</v>
      </c>
      <c r="D9" s="5">
        <f>(B9*391)/(2220000*10.9)*1000/'Mosher Masses 0.2 28'!E7</f>
        <v>0.2822326914070033</v>
      </c>
      <c r="E9" s="4">
        <f>AVERAGE(C9:C11)</f>
        <v>3480.9925911848936</v>
      </c>
      <c r="F9" s="11">
        <f>STDEV(C9:C11)/E9</f>
        <v>0.3461013013998267</v>
      </c>
      <c r="G9">
        <v>6</v>
      </c>
      <c r="I9">
        <v>12</v>
      </c>
      <c r="J9">
        <v>4734</v>
      </c>
    </row>
    <row r="10" spans="1:10" x14ac:dyDescent="0.25">
      <c r="A10" t="s">
        <v>85</v>
      </c>
      <c r="B10">
        <v>298</v>
      </c>
      <c r="C10" s="4">
        <f>(B10*391)/(2220000*10.9)*1000/'Mosher Masses 0.2 28'!D8</f>
        <v>2767.3513437512083</v>
      </c>
      <c r="D10" s="5">
        <f>(B10*391)/(2220000*10.9)*1000/'Mosher Masses 0.2 28'!E8</f>
        <v>0.34394223843765126</v>
      </c>
      <c r="G10">
        <v>6</v>
      </c>
      <c r="I10">
        <v>16</v>
      </c>
      <c r="J10">
        <v>6400</v>
      </c>
    </row>
    <row r="11" spans="1:10" x14ac:dyDescent="0.25">
      <c r="A11" t="s">
        <v>86</v>
      </c>
      <c r="B11">
        <v>398</v>
      </c>
      <c r="C11" s="4">
        <f>(B11*391)/(2220000*10.9)*1000/'Mosher Masses 0.2 28'!D9</f>
        <v>4871.990422449132</v>
      </c>
      <c r="D11" s="5">
        <f>(B11*391)/(2220000*10.9)*1000/'Mosher Masses 0.2 28'!E9</f>
        <v>0.42873515717552413</v>
      </c>
      <c r="G11">
        <v>6</v>
      </c>
      <c r="I11">
        <v>24</v>
      </c>
      <c r="J11">
        <v>9208</v>
      </c>
    </row>
    <row r="12" spans="1:10" x14ac:dyDescent="0.25">
      <c r="A12" t="s">
        <v>87</v>
      </c>
      <c r="B12">
        <v>243</v>
      </c>
      <c r="C12" s="4">
        <f>(B12*391)/(2220000*10.9)*1000/'Mosher Masses 0.2 28'!D10</f>
        <v>3739.5062165704039</v>
      </c>
      <c r="D12" s="5">
        <f>(B12*391)/(2220000*10.9)*1000/'Mosher Masses 0.2 28'!E10</f>
        <v>0.26176543515993056</v>
      </c>
      <c r="E12" s="4">
        <f>AVERAGE(C12:C14)</f>
        <v>4734.022960267147</v>
      </c>
      <c r="F12" s="11">
        <f>STDEV(C12:C14)/E12</f>
        <v>0.18600299978004936</v>
      </c>
      <c r="G12">
        <v>12</v>
      </c>
      <c r="I12">
        <v>36</v>
      </c>
      <c r="J12">
        <v>10437</v>
      </c>
    </row>
    <row r="13" spans="1:10" x14ac:dyDescent="0.25">
      <c r="A13" t="s">
        <v>88</v>
      </c>
      <c r="B13">
        <v>453</v>
      </c>
      <c r="C13" s="4">
        <f>(B13*391)/(2220000*10.9)*1000/'Mosher Masses 0.2 28'!D11</f>
        <v>5048.0945988696949</v>
      </c>
      <c r="D13" s="5">
        <f>(B13*391)/(2220000*10.9)*1000/'Mosher Masses 0.2 28'!E11</f>
        <v>0.48798247789073479</v>
      </c>
      <c r="G13">
        <v>12</v>
      </c>
    </row>
    <row r="14" spans="1:10" x14ac:dyDescent="0.25">
      <c r="A14" t="s">
        <v>89</v>
      </c>
      <c r="B14">
        <v>382</v>
      </c>
      <c r="C14" s="4">
        <f>(B14*391)/(2220000*10.9)*1000/'Mosher Masses 0.2 28'!D12</f>
        <v>5414.4680653613432</v>
      </c>
      <c r="D14" s="5">
        <f>(B14*391)/(2220000*10.9)*1000/'Mosher Masses 0.2 28'!E12</f>
        <v>0.47480719957784179</v>
      </c>
      <c r="G14">
        <v>12</v>
      </c>
    </row>
    <row r="15" spans="1:10" x14ac:dyDescent="0.25">
      <c r="A15" t="s">
        <v>177</v>
      </c>
      <c r="B15">
        <v>646</v>
      </c>
      <c r="C15" s="4">
        <f>(B15*391)/(2220000*10.9)*1000/'Mosher Masses 0.2 28'!D13</f>
        <v>5864.2138685433074</v>
      </c>
      <c r="D15" s="5">
        <f>(B15*391)/(2220000*10.9)*1000/'Mosher Masses 0.2 28'!E13</f>
        <v>0.61401768741218288</v>
      </c>
      <c r="E15" s="4">
        <f>AVERAGE(C15:C17)</f>
        <v>6400.3714216117587</v>
      </c>
      <c r="F15" s="11">
        <f>STDEV(C15:C17)/E15</f>
        <v>0.21100155265879691</v>
      </c>
      <c r="G15">
        <v>16</v>
      </c>
    </row>
    <row r="16" spans="1:10" x14ac:dyDescent="0.25">
      <c r="A16" t="s">
        <v>178</v>
      </c>
      <c r="B16">
        <v>668</v>
      </c>
      <c r="C16" s="4">
        <f>(B16*391)/(2220000*10.9)*1000/'Mosher Masses 0.2 28'!D14</f>
        <v>7936.6063311017442</v>
      </c>
      <c r="D16" s="5">
        <f>(B16*391)/(2220000*10.9)*1000/'Mosher Masses 0.2 28'!E14</f>
        <v>0.71958564068655817</v>
      </c>
      <c r="G16">
        <v>16</v>
      </c>
    </row>
    <row r="17" spans="1:15" x14ac:dyDescent="0.25">
      <c r="A17" t="s">
        <v>179</v>
      </c>
      <c r="B17">
        <v>508</v>
      </c>
      <c r="C17" s="4">
        <f>(B17*391)/(2220000*10.9)*1000/'Mosher Masses 0.2 28'!D15</f>
        <v>5400.2940651902236</v>
      </c>
      <c r="D17" s="5">
        <f>(B17*391)/(2220000*10.9)*1000/'Mosher Masses 0.2 28'!E15</f>
        <v>0.51302793619307374</v>
      </c>
      <c r="G17">
        <v>16</v>
      </c>
    </row>
    <row r="18" spans="1:15" x14ac:dyDescent="0.25">
      <c r="A18" t="s">
        <v>90</v>
      </c>
      <c r="B18">
        <v>1029</v>
      </c>
      <c r="C18" s="4">
        <f>(B18*391)/(2220000*10.9)*1000/'Mosher Masses 0.2 28'!D16</f>
        <v>11011.226914380222</v>
      </c>
      <c r="D18" s="5">
        <f>(B18*391)/(2220000*10.9)*1000/'Mosher Masses 0.2 28'!E16</f>
        <v>1.1084635093809405</v>
      </c>
      <c r="E18" s="4">
        <f>AVERAGE(C18:C20)</f>
        <v>9207.5424749544436</v>
      </c>
      <c r="F18" s="11">
        <f>STDEV(C18:C20)/E18</f>
        <v>0.28826834115867533</v>
      </c>
      <c r="G18">
        <v>24</v>
      </c>
      <c r="O18" t="s">
        <v>111</v>
      </c>
    </row>
    <row r="19" spans="1:15" x14ac:dyDescent="0.25">
      <c r="A19" t="s">
        <v>91</v>
      </c>
      <c r="B19">
        <v>629</v>
      </c>
      <c r="C19" s="4">
        <f>(B19*391)/(2220000*10.9)*1000/'Mosher Masses 0.2 28'!D17</f>
        <v>6159.7627652673573</v>
      </c>
      <c r="D19" s="5">
        <f>(B19*391)/(2220000*10.9)*1000/'Mosher Masses 0.2 28'!E17</f>
        <v>0.67757390417940877</v>
      </c>
      <c r="G19">
        <v>24</v>
      </c>
    </row>
    <row r="20" spans="1:15" x14ac:dyDescent="0.25">
      <c r="A20" t="s">
        <v>92</v>
      </c>
      <c r="B20">
        <v>815</v>
      </c>
      <c r="C20" s="4">
        <f>(B20*391)/(2220000*10.9)*1000/'Mosher Masses 0.2 28'!D18</f>
        <v>10451.63774521575</v>
      </c>
      <c r="D20" s="5">
        <f>(B20*391)/(2220000*10.9)*1000/'Mosher Masses 0.2 28'!E18</f>
        <v>0.87793757059812105</v>
      </c>
      <c r="G20">
        <v>24</v>
      </c>
    </row>
    <row r="21" spans="1:15" x14ac:dyDescent="0.25">
      <c r="A21" t="s">
        <v>93</v>
      </c>
      <c r="B21">
        <v>817</v>
      </c>
      <c r="C21" s="4">
        <f>(B21*391)/(2220000*10.9)*1000/'Mosher Masses 0.2 28'!D19</f>
        <v>9778.8002069347349</v>
      </c>
      <c r="D21" s="5">
        <f>(B21*391)/(2220000*10.9)*1000/'Mosher Masses 0.2 28'!E19</f>
        <v>0.88009201862412878</v>
      </c>
      <c r="E21" s="4">
        <f>AVERAGE(C21:C23)</f>
        <v>10436.571951502423</v>
      </c>
      <c r="F21" s="11">
        <f>STDEV(C21:C23)/E21</f>
        <v>5.7990419457575521E-2</v>
      </c>
      <c r="G21">
        <v>36</v>
      </c>
    </row>
    <row r="22" spans="1:15" x14ac:dyDescent="0.25">
      <c r="A22" t="s">
        <v>94</v>
      </c>
      <c r="B22">
        <v>740</v>
      </c>
      <c r="C22" s="4">
        <f>(B22*391)/(2220000*10.9)*1000/'Mosher Masses 0.2 28'!D20</f>
        <v>10969.895912240896</v>
      </c>
      <c r="D22" s="5">
        <f>(B22*391)/(2220000*10.9)*1000/'Mosher Masses 0.2 28'!E20</f>
        <v>0.85408475316732202</v>
      </c>
      <c r="G22">
        <v>36</v>
      </c>
    </row>
    <row r="23" spans="1:15" x14ac:dyDescent="0.25">
      <c r="A23" t="s">
        <v>95</v>
      </c>
      <c r="B23">
        <v>1000</v>
      </c>
      <c r="C23" s="4">
        <f>(B23*391)/(2220000*10.9)*1000/'Mosher Masses 0.2 28'!D21</f>
        <v>10561.019735331638</v>
      </c>
      <c r="D23" s="5">
        <f>(B23*391)/(2220000*10.9)*1000/'Mosher Masses 0.2 28'!E21</f>
        <v>1.0772240130038295</v>
      </c>
      <c r="G23">
        <v>36</v>
      </c>
    </row>
    <row r="24" spans="1:15" x14ac:dyDescent="0.25">
      <c r="A24" t="s">
        <v>99</v>
      </c>
      <c r="B24">
        <v>1</v>
      </c>
      <c r="C24" s="4">
        <f>(B24*391)/(2220000*10.9)*1000/'Mosher Masses 0.2 28'!D22</f>
        <v>14.961444625053124</v>
      </c>
      <c r="D24" s="5">
        <f>(B24*391)/(2220000*10.9)*1000/'Mosher Masses 0.2 28'!E22</f>
        <v>1.0772240130038295E-3</v>
      </c>
      <c r="E24" s="7">
        <f>AVERAGE(C24:C25)</f>
        <v>109.45095655318002</v>
      </c>
      <c r="F24" s="11">
        <f>STDEV(C24:C26)/E24</f>
        <v>0.96231141050050262</v>
      </c>
    </row>
    <row r="25" spans="1:15" x14ac:dyDescent="0.25">
      <c r="A25" t="s">
        <v>100</v>
      </c>
      <c r="B25">
        <v>13</v>
      </c>
      <c r="C25" s="4">
        <f>(B25*391)/(2220000*10.9)*1000/'Mosher Masses 0.2 28'!D23</f>
        <v>203.94046848130691</v>
      </c>
      <c r="D25" s="5">
        <f>(B25*391)/(2220000*10.9)*1000/'Mosher Masses 0.2 28'!E23</f>
        <v>1.4003912169049783E-2</v>
      </c>
    </row>
    <row r="26" spans="1:15" x14ac:dyDescent="0.25">
      <c r="A26" t="s">
        <v>101</v>
      </c>
      <c r="B26">
        <v>2</v>
      </c>
      <c r="C26" s="4">
        <f>(B26*391)/(2220000*10.9)*1000/'Mosher Masses 0.2 28'!D24</f>
        <v>28.854214634030892</v>
      </c>
      <c r="D26" s="5">
        <f>(B26*391)/(2220000*10.9)*1000/'Mosher Masses 0.2 28'!E24</f>
        <v>2.1544480260076589E-3</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1</v>
      </c>
      <c r="C32">
        <v>0</v>
      </c>
      <c r="D32">
        <v>0</v>
      </c>
      <c r="E32">
        <v>1</v>
      </c>
      <c r="F32">
        <v>0</v>
      </c>
      <c r="G32" s="12">
        <f t="shared" ref="G32:G38" si="0">(E32)/(SUM(B32+C32+D32+E32+F32))</f>
        <v>0.5</v>
      </c>
      <c r="I32" t="s">
        <v>102</v>
      </c>
      <c r="J32">
        <v>20</v>
      </c>
      <c r="L32">
        <v>0</v>
      </c>
      <c r="M32">
        <v>0</v>
      </c>
      <c r="N32">
        <v>0</v>
      </c>
      <c r="O32">
        <v>0</v>
      </c>
    </row>
    <row r="33" spans="1:15" x14ac:dyDescent="0.25">
      <c r="A33" t="s">
        <v>123</v>
      </c>
      <c r="B33">
        <v>49</v>
      </c>
      <c r="C33">
        <v>1</v>
      </c>
      <c r="D33">
        <v>5</v>
      </c>
      <c r="E33">
        <v>381</v>
      </c>
      <c r="F33">
        <v>2</v>
      </c>
      <c r="G33" s="12">
        <f t="shared" si="0"/>
        <v>0.86986301369863017</v>
      </c>
      <c r="L33">
        <v>0</v>
      </c>
      <c r="M33">
        <v>0</v>
      </c>
      <c r="N33">
        <v>0</v>
      </c>
      <c r="O33">
        <v>0</v>
      </c>
    </row>
    <row r="34" spans="1:15" x14ac:dyDescent="0.25">
      <c r="A34" t="s">
        <v>124</v>
      </c>
      <c r="B34">
        <v>109</v>
      </c>
      <c r="C34">
        <v>5</v>
      </c>
      <c r="D34">
        <v>10</v>
      </c>
      <c r="E34">
        <v>421</v>
      </c>
      <c r="F34">
        <v>6</v>
      </c>
      <c r="G34" s="12">
        <f t="shared" si="0"/>
        <v>0.76406533575317603</v>
      </c>
      <c r="L34">
        <v>0</v>
      </c>
      <c r="M34">
        <v>0</v>
      </c>
      <c r="N34">
        <v>0</v>
      </c>
      <c r="O34">
        <v>0</v>
      </c>
    </row>
    <row r="35" spans="1:15" x14ac:dyDescent="0.25">
      <c r="A35" t="s">
        <v>125</v>
      </c>
      <c r="B35">
        <v>217</v>
      </c>
      <c r="C35">
        <v>17</v>
      </c>
      <c r="D35">
        <v>16</v>
      </c>
      <c r="E35">
        <v>462</v>
      </c>
      <c r="F35">
        <v>0</v>
      </c>
      <c r="G35" s="12">
        <f t="shared" si="0"/>
        <v>0.648876404494382</v>
      </c>
      <c r="L35">
        <v>3</v>
      </c>
      <c r="M35">
        <v>3731</v>
      </c>
      <c r="N35" s="4">
        <f>M35*0.87</f>
        <v>3245.97</v>
      </c>
      <c r="O35" s="4">
        <f>M35-N35</f>
        <v>485.0300000000002</v>
      </c>
    </row>
    <row r="36" spans="1:15" x14ac:dyDescent="0.25">
      <c r="A36" t="s">
        <v>180</v>
      </c>
      <c r="B36">
        <v>342</v>
      </c>
      <c r="C36">
        <v>22</v>
      </c>
      <c r="D36">
        <v>15</v>
      </c>
      <c r="E36">
        <v>636</v>
      </c>
      <c r="F36">
        <v>3</v>
      </c>
      <c r="G36" s="12">
        <f t="shared" si="0"/>
        <v>0.62475442043222007</v>
      </c>
      <c r="L36">
        <v>3</v>
      </c>
      <c r="M36">
        <v>2743</v>
      </c>
      <c r="N36" s="4">
        <f>M36*0.87</f>
        <v>2386.41</v>
      </c>
      <c r="O36" s="4">
        <f t="shared" ref="O36:O52" si="1">M36-N36</f>
        <v>356.59000000000015</v>
      </c>
    </row>
    <row r="37" spans="1:15" x14ac:dyDescent="0.25">
      <c r="A37" t="s">
        <v>126</v>
      </c>
      <c r="B37">
        <v>428</v>
      </c>
      <c r="C37">
        <v>23</v>
      </c>
      <c r="D37">
        <v>20</v>
      </c>
      <c r="E37">
        <v>560</v>
      </c>
      <c r="F37">
        <v>6</v>
      </c>
      <c r="G37" s="12">
        <f t="shared" si="0"/>
        <v>0.54001928640308583</v>
      </c>
      <c r="L37">
        <v>3</v>
      </c>
      <c r="M37">
        <v>2644</v>
      </c>
      <c r="N37" s="4">
        <f>M37*0.87</f>
        <v>2300.2800000000002</v>
      </c>
      <c r="O37" s="4">
        <f t="shared" si="1"/>
        <v>343.7199999999998</v>
      </c>
    </row>
    <row r="38" spans="1:15" x14ac:dyDescent="0.25">
      <c r="A38" t="s">
        <v>127</v>
      </c>
      <c r="B38">
        <v>838</v>
      </c>
      <c r="C38">
        <v>50</v>
      </c>
      <c r="D38">
        <v>96</v>
      </c>
      <c r="E38">
        <v>521</v>
      </c>
      <c r="F38">
        <v>7</v>
      </c>
      <c r="G38" s="12">
        <f t="shared" si="0"/>
        <v>0.34457671957671959</v>
      </c>
      <c r="L38">
        <v>6</v>
      </c>
      <c r="M38">
        <v>2804</v>
      </c>
      <c r="N38" s="4">
        <f>M38*0.76</f>
        <v>2131.04</v>
      </c>
      <c r="O38" s="4">
        <f t="shared" si="1"/>
        <v>672.96</v>
      </c>
    </row>
    <row r="39" spans="1:15" x14ac:dyDescent="0.25">
      <c r="L39">
        <v>6</v>
      </c>
      <c r="M39">
        <v>2767</v>
      </c>
      <c r="N39" s="4">
        <f t="shared" ref="N39:N40" si="2">M39*0.76</f>
        <v>2102.92</v>
      </c>
      <c r="O39" s="4">
        <f t="shared" si="1"/>
        <v>664.07999999999993</v>
      </c>
    </row>
    <row r="40" spans="1:15" x14ac:dyDescent="0.25">
      <c r="L40">
        <v>6</v>
      </c>
      <c r="M40">
        <v>4872</v>
      </c>
      <c r="N40" s="4">
        <f t="shared" si="2"/>
        <v>3702.7200000000003</v>
      </c>
      <c r="O40" s="4">
        <f t="shared" si="1"/>
        <v>1169.2799999999997</v>
      </c>
    </row>
    <row r="41" spans="1:15" x14ac:dyDescent="0.25">
      <c r="L41">
        <v>12</v>
      </c>
      <c r="M41">
        <v>3740</v>
      </c>
      <c r="N41" s="4">
        <f>M41*0.65</f>
        <v>2431</v>
      </c>
      <c r="O41" s="4">
        <f t="shared" si="1"/>
        <v>1309</v>
      </c>
    </row>
    <row r="42" spans="1:15" x14ac:dyDescent="0.25">
      <c r="L42">
        <v>12</v>
      </c>
      <c r="M42">
        <v>5048</v>
      </c>
      <c r="N42" s="4">
        <f t="shared" ref="N42:N43" si="3">M42*0.65</f>
        <v>3281.2000000000003</v>
      </c>
      <c r="O42" s="4">
        <f t="shared" si="1"/>
        <v>1766.7999999999997</v>
      </c>
    </row>
    <row r="43" spans="1:15" x14ac:dyDescent="0.25">
      <c r="L43">
        <v>12</v>
      </c>
      <c r="M43">
        <v>5414</v>
      </c>
      <c r="N43" s="4">
        <f t="shared" si="3"/>
        <v>3519.1</v>
      </c>
      <c r="O43" s="4">
        <f t="shared" si="1"/>
        <v>1894.9</v>
      </c>
    </row>
    <row r="44" spans="1:15" x14ac:dyDescent="0.25">
      <c r="L44">
        <v>16</v>
      </c>
      <c r="M44">
        <v>5864</v>
      </c>
      <c r="N44" s="4">
        <f>M44*0.62</f>
        <v>3635.68</v>
      </c>
      <c r="O44" s="4">
        <f t="shared" si="1"/>
        <v>2228.3200000000002</v>
      </c>
    </row>
    <row r="45" spans="1:15" x14ac:dyDescent="0.25">
      <c r="L45">
        <v>16</v>
      </c>
      <c r="M45">
        <v>7937</v>
      </c>
      <c r="N45" s="4">
        <f t="shared" ref="N45:N46" si="4">M45*0.62</f>
        <v>4920.9399999999996</v>
      </c>
      <c r="O45" s="4">
        <f t="shared" si="1"/>
        <v>3016.0600000000004</v>
      </c>
    </row>
    <row r="46" spans="1:15" x14ac:dyDescent="0.25">
      <c r="L46">
        <v>16</v>
      </c>
      <c r="M46">
        <v>5400</v>
      </c>
      <c r="N46" s="4">
        <f t="shared" si="4"/>
        <v>3348</v>
      </c>
      <c r="O46" s="4">
        <f t="shared" si="1"/>
        <v>2052</v>
      </c>
    </row>
    <row r="47" spans="1:15" x14ac:dyDescent="0.25">
      <c r="L47">
        <v>24</v>
      </c>
      <c r="M47">
        <v>11011</v>
      </c>
      <c r="N47" s="4">
        <f>M47*0.54</f>
        <v>5945.9400000000005</v>
      </c>
      <c r="O47" s="4">
        <f t="shared" si="1"/>
        <v>5065.0599999999995</v>
      </c>
    </row>
    <row r="48" spans="1:15" x14ac:dyDescent="0.25">
      <c r="L48">
        <v>24</v>
      </c>
      <c r="M48">
        <v>6160</v>
      </c>
      <c r="N48" s="4">
        <f t="shared" ref="N48:N49" si="5">M48*0.54</f>
        <v>3326.4</v>
      </c>
      <c r="O48" s="4">
        <f t="shared" si="1"/>
        <v>2833.6</v>
      </c>
    </row>
    <row r="49" spans="12:15" x14ac:dyDescent="0.25">
      <c r="L49">
        <v>24</v>
      </c>
      <c r="M49">
        <v>10452</v>
      </c>
      <c r="N49" s="4">
        <f t="shared" si="5"/>
        <v>5644.08</v>
      </c>
      <c r="O49" s="4">
        <f t="shared" si="1"/>
        <v>4807.92</v>
      </c>
    </row>
    <row r="50" spans="12:15" x14ac:dyDescent="0.25">
      <c r="L50">
        <v>36</v>
      </c>
      <c r="M50">
        <v>9779</v>
      </c>
      <c r="N50" s="4">
        <f>M50*0.34</f>
        <v>3324.86</v>
      </c>
      <c r="O50" s="4">
        <f t="shared" si="1"/>
        <v>6454.1399999999994</v>
      </c>
    </row>
    <row r="51" spans="12:15" x14ac:dyDescent="0.25">
      <c r="L51">
        <v>36</v>
      </c>
      <c r="M51">
        <v>10970</v>
      </c>
      <c r="N51" s="4">
        <f t="shared" ref="N51:N52" si="6">M51*0.34</f>
        <v>3729.8</v>
      </c>
      <c r="O51" s="4">
        <f t="shared" si="1"/>
        <v>7240.2</v>
      </c>
    </row>
    <row r="52" spans="12:15" x14ac:dyDescent="0.25">
      <c r="L52">
        <v>36</v>
      </c>
      <c r="M52">
        <v>10561</v>
      </c>
      <c r="N52" s="4">
        <f t="shared" si="6"/>
        <v>3590.7400000000002</v>
      </c>
      <c r="O52" s="4">
        <f t="shared" si="1"/>
        <v>6970.26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I46"/>
  <sheetViews>
    <sheetView workbookViewId="0">
      <selection activeCell="B41" sqref="B41:B42"/>
    </sheetView>
  </sheetViews>
  <sheetFormatPr defaultColWidth="11" defaultRowHeight="15.75" x14ac:dyDescent="0.25"/>
  <cols>
    <col min="1" max="1" width="23.625" customWidth="1"/>
    <col min="2" max="2" width="22.375" customWidth="1"/>
    <col min="3" max="3" width="8.875" customWidth="1"/>
    <col min="4" max="4" width="21" customWidth="1"/>
    <col min="6" max="6" width="12.125" customWidth="1"/>
  </cols>
  <sheetData>
    <row r="1" spans="1:9" x14ac:dyDescent="0.25">
      <c r="C1" t="s">
        <v>102</v>
      </c>
      <c r="D1">
        <v>20</v>
      </c>
    </row>
    <row r="3" spans="1:9" x14ac:dyDescent="0.25">
      <c r="A3" t="s">
        <v>75</v>
      </c>
      <c r="B3" t="s">
        <v>129</v>
      </c>
      <c r="C3" t="s">
        <v>130</v>
      </c>
      <c r="D3" t="s">
        <v>131</v>
      </c>
      <c r="E3" t="s">
        <v>132</v>
      </c>
      <c r="F3" t="s">
        <v>133</v>
      </c>
      <c r="H3" t="s">
        <v>134</v>
      </c>
    </row>
    <row r="4" spans="1:9" x14ac:dyDescent="0.25">
      <c r="A4" t="s">
        <v>136</v>
      </c>
      <c r="B4">
        <v>0</v>
      </c>
      <c r="C4">
        <f>B4/10</f>
        <v>0</v>
      </c>
      <c r="D4" s="4">
        <f>(C4*391*1000)/(2220000*10.9)</f>
        <v>0</v>
      </c>
      <c r="E4" s="4"/>
    </row>
    <row r="5" spans="1:9" x14ac:dyDescent="0.25">
      <c r="A5" t="s">
        <v>137</v>
      </c>
      <c r="B5">
        <v>53</v>
      </c>
      <c r="C5">
        <f>B5/2000</f>
        <v>2.6499999999999999E-2</v>
      </c>
      <c r="D5" s="2">
        <f>(C5*391*1000)/(2220000*10.9)</f>
        <v>4.2819654516902222E-4</v>
      </c>
      <c r="E5" s="4">
        <f>D5*1000*1000</f>
        <v>428.19654516902222</v>
      </c>
    </row>
    <row r="6" spans="1:9" x14ac:dyDescent="0.25">
      <c r="A6" t="s">
        <v>138</v>
      </c>
      <c r="B6">
        <v>50</v>
      </c>
      <c r="C6">
        <f t="shared" ref="C6:C31" si="0">B6/2000</f>
        <v>2.5000000000000001E-2</v>
      </c>
      <c r="D6" s="2">
        <f t="shared" ref="D6:D31" si="1">(C6*391*1000)/(2220000*10.9)</f>
        <v>4.0395900487643607E-4</v>
      </c>
      <c r="E6" s="4">
        <f t="shared" ref="E6:E31" si="2">D6*1000*1000</f>
        <v>403.9590048764361</v>
      </c>
    </row>
    <row r="7" spans="1:9" x14ac:dyDescent="0.25">
      <c r="A7" t="s">
        <v>139</v>
      </c>
      <c r="B7">
        <v>49</v>
      </c>
      <c r="C7">
        <f t="shared" si="0"/>
        <v>2.4500000000000001E-2</v>
      </c>
      <c r="D7" s="2">
        <f t="shared" si="1"/>
        <v>3.9587982477890741E-4</v>
      </c>
      <c r="E7" s="4">
        <f t="shared" si="2"/>
        <v>395.87982477890745</v>
      </c>
    </row>
    <row r="8" spans="1:9" x14ac:dyDescent="0.25">
      <c r="A8" t="s">
        <v>181</v>
      </c>
      <c r="B8">
        <v>46</v>
      </c>
      <c r="C8">
        <f t="shared" si="0"/>
        <v>2.3E-2</v>
      </c>
      <c r="D8" s="2">
        <f t="shared" si="1"/>
        <v>3.7164228448632121E-4</v>
      </c>
      <c r="E8" s="4">
        <f t="shared" si="2"/>
        <v>371.64228448632122</v>
      </c>
    </row>
    <row r="9" spans="1:9" x14ac:dyDescent="0.25">
      <c r="A9" t="s">
        <v>140</v>
      </c>
      <c r="B9">
        <v>59</v>
      </c>
      <c r="C9">
        <f t="shared" si="0"/>
        <v>2.9499999999999998E-2</v>
      </c>
      <c r="D9" s="2">
        <f t="shared" si="1"/>
        <v>4.7667162575419457E-4</v>
      </c>
      <c r="E9" s="4">
        <f t="shared" si="2"/>
        <v>476.67162575419457</v>
      </c>
    </row>
    <row r="10" spans="1:9" x14ac:dyDescent="0.25">
      <c r="A10" t="s">
        <v>141</v>
      </c>
      <c r="B10">
        <v>60</v>
      </c>
      <c r="C10">
        <f t="shared" si="0"/>
        <v>0.03</v>
      </c>
      <c r="D10" s="2">
        <f t="shared" si="1"/>
        <v>4.8475080585172329E-4</v>
      </c>
      <c r="E10" s="4">
        <f t="shared" si="2"/>
        <v>484.75080585172333</v>
      </c>
    </row>
    <row r="11" spans="1:9" x14ac:dyDescent="0.25">
      <c r="A11" t="s">
        <v>143</v>
      </c>
      <c r="B11">
        <v>65</v>
      </c>
      <c r="C11">
        <f t="shared" si="0"/>
        <v>3.2500000000000001E-2</v>
      </c>
      <c r="D11" s="2">
        <f t="shared" si="1"/>
        <v>5.2514670633936687E-4</v>
      </c>
      <c r="E11" s="4">
        <f t="shared" si="2"/>
        <v>525.14670633936692</v>
      </c>
      <c r="F11" s="4">
        <f>AVERAGE(E11:E13)</f>
        <v>438.96878529906053</v>
      </c>
      <c r="G11" s="11">
        <f>STDEV(E11:E13)/F11</f>
        <v>0.18527201068149052</v>
      </c>
      <c r="H11" s="13">
        <f>E11/1000</f>
        <v>0.52514670633936689</v>
      </c>
      <c r="I11">
        <v>3</v>
      </c>
    </row>
    <row r="12" spans="1:9" x14ac:dyDescent="0.25">
      <c r="A12" t="s">
        <v>144</v>
      </c>
      <c r="B12">
        <v>45</v>
      </c>
      <c r="C12">
        <f t="shared" si="0"/>
        <v>2.2499999999999999E-2</v>
      </c>
      <c r="D12" s="2">
        <f t="shared" si="1"/>
        <v>3.6356310438879244E-4</v>
      </c>
      <c r="E12" s="4">
        <f t="shared" si="2"/>
        <v>363.5631043887924</v>
      </c>
      <c r="H12" s="13">
        <f t="shared" ref="H12:H28" si="3">E12/1000</f>
        <v>0.36356310438879241</v>
      </c>
      <c r="I12">
        <v>3</v>
      </c>
    </row>
    <row r="13" spans="1:9" x14ac:dyDescent="0.25">
      <c r="A13" t="s">
        <v>145</v>
      </c>
      <c r="B13">
        <v>53</v>
      </c>
      <c r="C13">
        <f t="shared" si="0"/>
        <v>2.6499999999999999E-2</v>
      </c>
      <c r="D13" s="2">
        <f t="shared" si="1"/>
        <v>4.2819654516902222E-4</v>
      </c>
      <c r="E13" s="4">
        <f t="shared" si="2"/>
        <v>428.19654516902222</v>
      </c>
      <c r="H13" s="13">
        <f t="shared" si="3"/>
        <v>0.42819654516902222</v>
      </c>
      <c r="I13">
        <v>3</v>
      </c>
    </row>
    <row r="14" spans="1:9" x14ac:dyDescent="0.25">
      <c r="A14" t="s">
        <v>146</v>
      </c>
      <c r="B14">
        <v>43</v>
      </c>
      <c r="C14">
        <f t="shared" si="0"/>
        <v>2.1499999999999998E-2</v>
      </c>
      <c r="D14" s="2">
        <f t="shared" si="1"/>
        <v>3.4740474419373501E-4</v>
      </c>
      <c r="E14" s="4">
        <f t="shared" si="2"/>
        <v>347.40474419373504</v>
      </c>
      <c r="F14" s="4">
        <f>AVERAGE(E14:E16)</f>
        <v>377.02840455134037</v>
      </c>
      <c r="G14" s="11">
        <f>STDEV(E14:E16)/F14</f>
        <v>7.5254669663233853E-2</v>
      </c>
      <c r="H14" s="13">
        <f t="shared" si="3"/>
        <v>0.34740474419373502</v>
      </c>
      <c r="I14">
        <v>6</v>
      </c>
    </row>
    <row r="15" spans="1:9" x14ac:dyDescent="0.25">
      <c r="A15" t="s">
        <v>147</v>
      </c>
      <c r="B15">
        <v>50</v>
      </c>
      <c r="C15">
        <f t="shared" si="0"/>
        <v>2.5000000000000001E-2</v>
      </c>
      <c r="D15" s="2">
        <f t="shared" si="1"/>
        <v>4.0395900487643607E-4</v>
      </c>
      <c r="E15" s="4">
        <f t="shared" si="2"/>
        <v>403.9590048764361</v>
      </c>
      <c r="H15" s="13">
        <f t="shared" si="3"/>
        <v>0.4039590048764361</v>
      </c>
      <c r="I15">
        <v>6</v>
      </c>
    </row>
    <row r="16" spans="1:9" x14ac:dyDescent="0.25">
      <c r="A16" t="s">
        <v>148</v>
      </c>
      <c r="B16">
        <v>47</v>
      </c>
      <c r="C16">
        <f t="shared" si="0"/>
        <v>2.35E-2</v>
      </c>
      <c r="D16" s="2">
        <f t="shared" si="1"/>
        <v>3.7972146458384993E-4</v>
      </c>
      <c r="E16" s="4">
        <f t="shared" si="2"/>
        <v>379.72146458384992</v>
      </c>
      <c r="H16" s="13">
        <f t="shared" si="3"/>
        <v>0.37972146458384992</v>
      </c>
      <c r="I16">
        <v>6</v>
      </c>
    </row>
    <row r="17" spans="1:9" x14ac:dyDescent="0.25">
      <c r="A17" t="s">
        <v>149</v>
      </c>
      <c r="B17">
        <v>49</v>
      </c>
      <c r="C17">
        <f t="shared" si="0"/>
        <v>2.4500000000000001E-2</v>
      </c>
      <c r="D17" s="2">
        <f t="shared" si="1"/>
        <v>3.9587982477890741E-4</v>
      </c>
      <c r="E17" s="4">
        <f t="shared" si="2"/>
        <v>395.87982477890745</v>
      </c>
      <c r="F17" s="4">
        <f>AVERAGE(E17:E19)</f>
        <v>368.94922445381167</v>
      </c>
      <c r="G17" s="11">
        <f>STDEV(E17:E19)/F17</f>
        <v>7.6902582137611378E-2</v>
      </c>
      <c r="H17" s="13">
        <f t="shared" si="3"/>
        <v>0.39587982477890743</v>
      </c>
      <c r="I17">
        <v>12</v>
      </c>
    </row>
    <row r="18" spans="1:9" x14ac:dyDescent="0.25">
      <c r="A18" t="s">
        <v>150</v>
      </c>
      <c r="B18">
        <v>46</v>
      </c>
      <c r="C18">
        <f t="shared" si="0"/>
        <v>2.3E-2</v>
      </c>
      <c r="D18" s="2">
        <f t="shared" si="1"/>
        <v>3.7164228448632121E-4</v>
      </c>
      <c r="E18" s="4">
        <f t="shared" si="2"/>
        <v>371.64228448632122</v>
      </c>
      <c r="H18" s="13">
        <f t="shared" si="3"/>
        <v>0.37164228448632119</v>
      </c>
      <c r="I18">
        <v>12</v>
      </c>
    </row>
    <row r="19" spans="1:9" x14ac:dyDescent="0.25">
      <c r="A19" t="s">
        <v>151</v>
      </c>
      <c r="B19">
        <v>42</v>
      </c>
      <c r="C19">
        <f t="shared" si="0"/>
        <v>2.1000000000000001E-2</v>
      </c>
      <c r="D19" s="2">
        <f t="shared" si="1"/>
        <v>3.3932556409620629E-4</v>
      </c>
      <c r="E19" s="4">
        <f t="shared" si="2"/>
        <v>339.32556409620628</v>
      </c>
      <c r="H19" s="13">
        <f t="shared" si="3"/>
        <v>0.33932556409620629</v>
      </c>
      <c r="I19">
        <v>12</v>
      </c>
    </row>
    <row r="20" spans="1:9" x14ac:dyDescent="0.25">
      <c r="A20" t="s">
        <v>182</v>
      </c>
      <c r="B20">
        <v>48</v>
      </c>
      <c r="C20">
        <f t="shared" si="0"/>
        <v>2.4E-2</v>
      </c>
      <c r="D20" s="2">
        <f t="shared" si="1"/>
        <v>3.8780064468137864E-4</v>
      </c>
      <c r="E20" s="4">
        <f t="shared" si="2"/>
        <v>387.80064468137863</v>
      </c>
      <c r="F20" s="4">
        <f>AVERAGE(E20:E22)</f>
        <v>393.18676474639778</v>
      </c>
      <c r="G20" s="11">
        <f>STDEV(E20:E22)/F20</f>
        <v>4.2773958893139633E-2</v>
      </c>
      <c r="H20" s="13">
        <f t="shared" si="3"/>
        <v>0.38780064468137865</v>
      </c>
      <c r="I20">
        <v>16</v>
      </c>
    </row>
    <row r="21" spans="1:9" x14ac:dyDescent="0.25">
      <c r="A21" t="s">
        <v>183</v>
      </c>
      <c r="B21">
        <v>47</v>
      </c>
      <c r="C21">
        <f t="shared" si="0"/>
        <v>2.35E-2</v>
      </c>
      <c r="D21" s="2">
        <f t="shared" si="1"/>
        <v>3.7972146458384993E-4</v>
      </c>
      <c r="E21" s="4">
        <f t="shared" si="2"/>
        <v>379.72146458384992</v>
      </c>
      <c r="H21" s="13">
        <f t="shared" si="3"/>
        <v>0.37972146458384992</v>
      </c>
      <c r="I21">
        <v>16</v>
      </c>
    </row>
    <row r="22" spans="1:9" x14ac:dyDescent="0.25">
      <c r="A22" t="s">
        <v>184</v>
      </c>
      <c r="B22">
        <v>51</v>
      </c>
      <c r="C22">
        <f t="shared" si="0"/>
        <v>2.5499999999999998E-2</v>
      </c>
      <c r="D22" s="2">
        <f t="shared" si="1"/>
        <v>4.1203818497396479E-4</v>
      </c>
      <c r="E22" s="4">
        <f t="shared" si="2"/>
        <v>412.03818497396475</v>
      </c>
      <c r="H22" s="13">
        <f t="shared" si="3"/>
        <v>0.41203818497396477</v>
      </c>
      <c r="I22">
        <v>16</v>
      </c>
    </row>
    <row r="23" spans="1:9" x14ac:dyDescent="0.25">
      <c r="A23" t="s">
        <v>152</v>
      </c>
      <c r="B23">
        <v>44</v>
      </c>
      <c r="C23">
        <f t="shared" si="0"/>
        <v>2.1999999999999999E-2</v>
      </c>
      <c r="D23" s="2">
        <f t="shared" si="1"/>
        <v>3.5548392429126372E-4</v>
      </c>
      <c r="E23" s="4">
        <f t="shared" si="2"/>
        <v>355.48392429126375</v>
      </c>
      <c r="F23" s="4">
        <f>AVERAGE(E23:E25)</f>
        <v>317.78108383612971</v>
      </c>
      <c r="G23" s="11">
        <f>STDEV(E23:E25)/F23</f>
        <v>0.20549755344037579</v>
      </c>
      <c r="H23" s="13">
        <f t="shared" si="3"/>
        <v>0.35548392429126374</v>
      </c>
      <c r="I23">
        <v>24</v>
      </c>
    </row>
    <row r="24" spans="1:9" x14ac:dyDescent="0.25">
      <c r="A24" t="s">
        <v>153</v>
      </c>
      <c r="B24">
        <v>30</v>
      </c>
      <c r="C24">
        <f t="shared" si="0"/>
        <v>1.4999999999999999E-2</v>
      </c>
      <c r="D24" s="2">
        <f t="shared" si="1"/>
        <v>2.4237540292586164E-4</v>
      </c>
      <c r="E24" s="4">
        <f t="shared" si="2"/>
        <v>242.37540292586166</v>
      </c>
      <c r="H24" s="13">
        <f t="shared" si="3"/>
        <v>0.24237540292586165</v>
      </c>
      <c r="I24">
        <v>24</v>
      </c>
    </row>
    <row r="25" spans="1:9" x14ac:dyDescent="0.25">
      <c r="A25" t="s">
        <v>154</v>
      </c>
      <c r="B25">
        <v>44</v>
      </c>
      <c r="C25">
        <f t="shared" si="0"/>
        <v>2.1999999999999999E-2</v>
      </c>
      <c r="D25" s="2">
        <f t="shared" si="1"/>
        <v>3.5548392429126372E-4</v>
      </c>
      <c r="E25" s="4">
        <f t="shared" si="2"/>
        <v>355.48392429126375</v>
      </c>
      <c r="H25" s="13">
        <f t="shared" si="3"/>
        <v>0.35548392429126374</v>
      </c>
      <c r="I25">
        <v>24</v>
      </c>
    </row>
    <row r="26" spans="1:9" x14ac:dyDescent="0.25">
      <c r="A26" t="s">
        <v>155</v>
      </c>
      <c r="B26">
        <v>40</v>
      </c>
      <c r="C26">
        <f t="shared" si="0"/>
        <v>0.02</v>
      </c>
      <c r="D26" s="2">
        <f t="shared" si="1"/>
        <v>3.2316720390114886E-4</v>
      </c>
      <c r="E26" s="4">
        <f t="shared" si="2"/>
        <v>323.16720390114881</v>
      </c>
      <c r="F26" s="4">
        <f>AVERAGE(E26:E28)</f>
        <v>339.32556409620628</v>
      </c>
      <c r="G26" s="11">
        <f>STDEV(E26:E28)/F26</f>
        <v>6.2994078834871112E-2</v>
      </c>
      <c r="H26" s="13">
        <f t="shared" si="3"/>
        <v>0.32316720390114884</v>
      </c>
      <c r="I26">
        <v>36</v>
      </c>
    </row>
    <row r="27" spans="1:9" x14ac:dyDescent="0.25">
      <c r="A27" t="s">
        <v>156</v>
      </c>
      <c r="B27">
        <v>41</v>
      </c>
      <c r="C27">
        <f t="shared" si="0"/>
        <v>2.0500000000000001E-2</v>
      </c>
      <c r="D27" s="2">
        <f t="shared" si="1"/>
        <v>3.3124638399867763E-4</v>
      </c>
      <c r="E27" s="4">
        <f t="shared" si="2"/>
        <v>331.24638399867763</v>
      </c>
      <c r="H27" s="13">
        <f t="shared" si="3"/>
        <v>0.33124638399867762</v>
      </c>
      <c r="I27">
        <v>36</v>
      </c>
    </row>
    <row r="28" spans="1:9" x14ac:dyDescent="0.25">
      <c r="A28" t="s">
        <v>157</v>
      </c>
      <c r="B28">
        <v>45</v>
      </c>
      <c r="C28">
        <f t="shared" si="0"/>
        <v>2.2499999999999999E-2</v>
      </c>
      <c r="D28" s="2">
        <f t="shared" si="1"/>
        <v>3.6356310438879244E-4</v>
      </c>
      <c r="E28" s="4">
        <f t="shared" si="2"/>
        <v>363.5631043887924</v>
      </c>
      <c r="H28" s="13">
        <f t="shared" si="3"/>
        <v>0.36356310438879241</v>
      </c>
      <c r="I28">
        <v>36</v>
      </c>
    </row>
    <row r="29" spans="1:9" x14ac:dyDescent="0.25">
      <c r="A29" t="s">
        <v>99</v>
      </c>
      <c r="B29">
        <v>0</v>
      </c>
      <c r="C29">
        <f t="shared" si="0"/>
        <v>0</v>
      </c>
      <c r="D29" s="2">
        <f t="shared" si="1"/>
        <v>0</v>
      </c>
      <c r="E29" s="4">
        <f t="shared" si="2"/>
        <v>0</v>
      </c>
      <c r="F29" s="4">
        <f>AVERAGE(E29:E31)</f>
        <v>13.465300162547868</v>
      </c>
    </row>
    <row r="30" spans="1:9" x14ac:dyDescent="0.25">
      <c r="A30" t="s">
        <v>100</v>
      </c>
      <c r="B30">
        <v>5</v>
      </c>
      <c r="C30">
        <f t="shared" si="0"/>
        <v>2.5000000000000001E-3</v>
      </c>
      <c r="D30" s="2">
        <f t="shared" si="1"/>
        <v>4.0395900487643607E-5</v>
      </c>
      <c r="E30" s="4">
        <f t="shared" si="2"/>
        <v>40.395900487643601</v>
      </c>
    </row>
    <row r="31" spans="1:9" x14ac:dyDescent="0.25">
      <c r="A31" t="s">
        <v>101</v>
      </c>
      <c r="B31">
        <v>0</v>
      </c>
      <c r="C31">
        <f t="shared" si="0"/>
        <v>0</v>
      </c>
      <c r="D31" s="2">
        <f t="shared" si="1"/>
        <v>0</v>
      </c>
      <c r="E31" s="4">
        <f t="shared" si="2"/>
        <v>0</v>
      </c>
    </row>
    <row r="32" spans="1:9" x14ac:dyDescent="0.25">
      <c r="D32" s="2"/>
      <c r="E32" s="4"/>
    </row>
    <row r="33" spans="1:5" x14ac:dyDescent="0.25">
      <c r="D33" s="2"/>
      <c r="E33" s="4"/>
    </row>
    <row r="34" spans="1:5" x14ac:dyDescent="0.25">
      <c r="A34" s="14" t="s">
        <v>164</v>
      </c>
      <c r="B34" s="14">
        <f t="array" ref="B34:C38">LINEST(E11:E28,I11:I28,TRUE,TRUE)</f>
        <v>-2.6660874748725982</v>
      </c>
      <c r="C34" s="15">
        <v>415.64171867426484</v>
      </c>
      <c r="D34" s="16" t="s">
        <v>165</v>
      </c>
      <c r="E34" s="4"/>
    </row>
    <row r="35" spans="1:5" x14ac:dyDescent="0.25">
      <c r="A35" s="14" t="s">
        <v>166</v>
      </c>
      <c r="B35" s="14">
        <v>1.0201993979869766</v>
      </c>
      <c r="C35" s="15">
        <v>20.048064672182104</v>
      </c>
      <c r="D35" s="16" t="s">
        <v>166</v>
      </c>
      <c r="E35" s="4"/>
    </row>
    <row r="36" spans="1:5" x14ac:dyDescent="0.25">
      <c r="A36" s="14" t="s">
        <v>167</v>
      </c>
      <c r="B36" s="14">
        <v>0.29914746610669751</v>
      </c>
      <c r="C36" s="15">
        <v>48.354653368403334</v>
      </c>
      <c r="D36" s="16" t="s">
        <v>168</v>
      </c>
      <c r="E36" s="4"/>
    </row>
    <row r="37" spans="1:5" x14ac:dyDescent="0.25">
      <c r="A37" s="14" t="s">
        <v>169</v>
      </c>
      <c r="B37" s="14">
        <v>6.8293388783493132</v>
      </c>
      <c r="C37" s="15">
        <v>16</v>
      </c>
      <c r="D37" s="16" t="s">
        <v>170</v>
      </c>
      <c r="E37" s="4"/>
    </row>
    <row r="38" spans="1:5" x14ac:dyDescent="0.25">
      <c r="A38" s="14" t="s">
        <v>171</v>
      </c>
      <c r="B38" s="14">
        <v>15968.172374780384</v>
      </c>
      <c r="C38" s="15">
        <v>37410.760038055043</v>
      </c>
      <c r="D38" s="16" t="s">
        <v>172</v>
      </c>
      <c r="E38" s="4"/>
    </row>
    <row r="39" spans="1:5" x14ac:dyDescent="0.25">
      <c r="D39" s="2"/>
      <c r="E39" s="4"/>
    </row>
    <row r="40" spans="1:5" x14ac:dyDescent="0.25">
      <c r="D40" s="2"/>
      <c r="E40" s="4"/>
    </row>
    <row r="41" spans="1:5" x14ac:dyDescent="0.25">
      <c r="A41" s="14" t="s">
        <v>173</v>
      </c>
      <c r="B41" s="14">
        <f>B34/B35</f>
        <v>-2.6133003804287998</v>
      </c>
      <c r="D41" s="2"/>
      <c r="E41" s="4"/>
    </row>
    <row r="42" spans="1:5" x14ac:dyDescent="0.25">
      <c r="A42" s="14" t="s">
        <v>174</v>
      </c>
      <c r="B42" s="14">
        <f>TDIST(ABS(B41),C37,2)</f>
        <v>1.8825013035973878E-2</v>
      </c>
      <c r="C42" t="s">
        <v>190</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F24"/>
  <sheetViews>
    <sheetView workbookViewId="0">
      <selection activeCell="C32" sqref="C32"/>
    </sheetView>
  </sheetViews>
  <sheetFormatPr defaultColWidth="11" defaultRowHeight="15.75" x14ac:dyDescent="0.25"/>
  <cols>
    <col min="1" max="1" width="14.375" customWidth="1"/>
    <col min="2" max="2" width="17.625" customWidth="1"/>
    <col min="3" max="3" width="20.5" customWidth="1"/>
    <col min="4" max="4" width="17.375" customWidth="1"/>
    <col min="5" max="5" width="8.625" customWidth="1"/>
    <col min="6" max="6" width="21.375" customWidth="1"/>
  </cols>
  <sheetData>
    <row r="1" spans="1:6" x14ac:dyDescent="0.25">
      <c r="A1" s="1" t="s">
        <v>195</v>
      </c>
    </row>
    <row r="3" spans="1:6" x14ac:dyDescent="0.25">
      <c r="A3" t="s">
        <v>75</v>
      </c>
      <c r="B3" t="s">
        <v>76</v>
      </c>
      <c r="C3" t="s">
        <v>77</v>
      </c>
      <c r="D3" t="s">
        <v>78</v>
      </c>
      <c r="E3" t="s">
        <v>79</v>
      </c>
      <c r="F3" t="s">
        <v>80</v>
      </c>
    </row>
    <row r="4" spans="1:6" x14ac:dyDescent="0.25">
      <c r="A4" t="s">
        <v>81</v>
      </c>
      <c r="B4">
        <v>6.4879999999999993E-2</v>
      </c>
      <c r="C4">
        <v>6.6309999999999994E-2</v>
      </c>
      <c r="D4">
        <f>C4-B4</f>
        <v>1.4300000000000007E-3</v>
      </c>
      <c r="E4">
        <v>15</v>
      </c>
      <c r="F4" s="2">
        <f>D4/E4</f>
        <v>9.5333333333333378E-5</v>
      </c>
    </row>
    <row r="5" spans="1:6" x14ac:dyDescent="0.25">
      <c r="A5" t="s">
        <v>82</v>
      </c>
      <c r="B5">
        <v>7.528E-2</v>
      </c>
      <c r="C5">
        <v>7.6980000000000007E-2</v>
      </c>
      <c r="D5">
        <f t="shared" ref="D5:D24" si="0">C5-B5</f>
        <v>1.7000000000000071E-3</v>
      </c>
      <c r="E5">
        <v>15</v>
      </c>
      <c r="F5" s="2">
        <f t="shared" ref="F5:F24" si="1">D5/E5</f>
        <v>1.133333333333338E-4</v>
      </c>
    </row>
    <row r="6" spans="1:6" x14ac:dyDescent="0.25">
      <c r="A6" t="s">
        <v>83</v>
      </c>
      <c r="B6">
        <v>6.7960000000000007E-2</v>
      </c>
      <c r="C6">
        <v>6.9610000000000005E-2</v>
      </c>
      <c r="D6">
        <f t="shared" si="0"/>
        <v>1.6499999999999987E-3</v>
      </c>
      <c r="E6">
        <v>16</v>
      </c>
      <c r="F6" s="2">
        <f t="shared" si="1"/>
        <v>1.0312499999999992E-4</v>
      </c>
    </row>
    <row r="7" spans="1:6" x14ac:dyDescent="0.25">
      <c r="A7" t="s">
        <v>84</v>
      </c>
      <c r="B7">
        <v>6.5290000000000001E-2</v>
      </c>
      <c r="C7">
        <v>6.7180000000000004E-2</v>
      </c>
      <c r="D7">
        <f t="shared" si="0"/>
        <v>1.8900000000000028E-3</v>
      </c>
      <c r="E7">
        <v>15</v>
      </c>
      <c r="F7" s="2">
        <f t="shared" si="1"/>
        <v>1.2600000000000019E-4</v>
      </c>
    </row>
    <row r="8" spans="1:6" x14ac:dyDescent="0.25">
      <c r="A8" t="s">
        <v>85</v>
      </c>
      <c r="B8">
        <v>7.8009999999999996E-2</v>
      </c>
      <c r="C8">
        <v>7.986E-2</v>
      </c>
      <c r="D8">
        <f t="shared" si="0"/>
        <v>1.8500000000000044E-3</v>
      </c>
      <c r="E8">
        <v>15</v>
      </c>
      <c r="F8" s="2">
        <f t="shared" si="1"/>
        <v>1.2333333333333364E-4</v>
      </c>
    </row>
    <row r="9" spans="1:6" x14ac:dyDescent="0.25">
      <c r="A9" t="s">
        <v>86</v>
      </c>
      <c r="B9">
        <v>7.0129999999999998E-2</v>
      </c>
      <c r="C9">
        <v>7.1819999999999995E-2</v>
      </c>
      <c r="D9">
        <f t="shared" si="0"/>
        <v>1.6899999999999971E-3</v>
      </c>
      <c r="E9">
        <v>15</v>
      </c>
      <c r="F9" s="2">
        <f t="shared" si="1"/>
        <v>1.1266666666666647E-4</v>
      </c>
    </row>
    <row r="10" spans="1:6" x14ac:dyDescent="0.25">
      <c r="A10" t="s">
        <v>87</v>
      </c>
      <c r="B10">
        <v>6.4689999999999998E-2</v>
      </c>
      <c r="C10">
        <v>6.651E-2</v>
      </c>
      <c r="D10">
        <f t="shared" si="0"/>
        <v>1.8200000000000022E-3</v>
      </c>
      <c r="E10">
        <v>15</v>
      </c>
      <c r="F10" s="2">
        <f t="shared" si="1"/>
        <v>1.2133333333333348E-4</v>
      </c>
    </row>
    <row r="11" spans="1:6" x14ac:dyDescent="0.25">
      <c r="A11" t="s">
        <v>88</v>
      </c>
      <c r="B11">
        <v>8.2430000000000003E-2</v>
      </c>
      <c r="C11">
        <v>8.4029999999999994E-2</v>
      </c>
      <c r="D11">
        <f t="shared" si="0"/>
        <v>1.5999999999999903E-3</v>
      </c>
      <c r="E11">
        <v>15</v>
      </c>
      <c r="F11" s="2">
        <f t="shared" si="1"/>
        <v>1.0666666666666602E-4</v>
      </c>
    </row>
    <row r="12" spans="1:6" x14ac:dyDescent="0.25">
      <c r="A12" t="s">
        <v>89</v>
      </c>
      <c r="B12">
        <v>6.1609999999999998E-2</v>
      </c>
      <c r="C12">
        <v>6.3299999999999995E-2</v>
      </c>
      <c r="D12">
        <f t="shared" si="0"/>
        <v>1.6899999999999971E-3</v>
      </c>
      <c r="E12">
        <v>15</v>
      </c>
      <c r="F12" s="2">
        <f>D12/E12</f>
        <v>1.1266666666666647E-4</v>
      </c>
    </row>
    <row r="13" spans="1:6" x14ac:dyDescent="0.25">
      <c r="A13" t="s">
        <v>177</v>
      </c>
      <c r="B13">
        <v>6.9879999999999998E-2</v>
      </c>
      <c r="C13">
        <v>7.1459999999999996E-2</v>
      </c>
      <c r="D13">
        <f t="shared" si="0"/>
        <v>1.5799999999999981E-3</v>
      </c>
      <c r="E13">
        <v>14</v>
      </c>
      <c r="F13" s="2">
        <f t="shared" si="1"/>
        <v>1.1285714285714272E-4</v>
      </c>
    </row>
    <row r="14" spans="1:6" x14ac:dyDescent="0.25">
      <c r="A14" t="s">
        <v>178</v>
      </c>
      <c r="B14">
        <v>7.6200000000000004E-2</v>
      </c>
      <c r="C14">
        <v>7.7649999999999997E-2</v>
      </c>
      <c r="D14">
        <f t="shared" si="0"/>
        <v>1.449999999999993E-3</v>
      </c>
      <c r="E14">
        <v>15</v>
      </c>
      <c r="F14" s="2">
        <f t="shared" si="1"/>
        <v>9.6666666666666193E-5</v>
      </c>
    </row>
    <row r="15" spans="1:6" x14ac:dyDescent="0.25">
      <c r="A15" t="s">
        <v>179</v>
      </c>
      <c r="B15">
        <v>7.1499999999999994E-2</v>
      </c>
      <c r="C15">
        <v>7.3370000000000005E-2</v>
      </c>
      <c r="D15">
        <f t="shared" si="0"/>
        <v>1.8700000000000105E-3</v>
      </c>
      <c r="E15">
        <v>17</v>
      </c>
      <c r="F15" s="2">
        <f t="shared" si="1"/>
        <v>1.1000000000000061E-4</v>
      </c>
    </row>
    <row r="16" spans="1:6" x14ac:dyDescent="0.25">
      <c r="A16" t="s">
        <v>90</v>
      </c>
      <c r="B16">
        <v>6.7419999999999994E-2</v>
      </c>
      <c r="C16">
        <v>6.8860000000000005E-2</v>
      </c>
      <c r="D16">
        <f t="shared" si="0"/>
        <v>1.4400000000000107E-3</v>
      </c>
      <c r="E16">
        <v>15</v>
      </c>
      <c r="F16" s="2">
        <f t="shared" si="1"/>
        <v>9.6000000000000721E-5</v>
      </c>
    </row>
    <row r="17" spans="1:6" x14ac:dyDescent="0.25">
      <c r="A17" t="s">
        <v>91</v>
      </c>
      <c r="B17">
        <v>6.787E-2</v>
      </c>
      <c r="C17">
        <v>6.9159999999999999E-2</v>
      </c>
      <c r="D17">
        <f t="shared" si="0"/>
        <v>1.2899999999999995E-3</v>
      </c>
      <c r="E17">
        <v>15</v>
      </c>
      <c r="F17" s="2">
        <f t="shared" si="1"/>
        <v>8.5999999999999963E-5</v>
      </c>
    </row>
    <row r="18" spans="1:6" x14ac:dyDescent="0.25">
      <c r="A18" t="s">
        <v>92</v>
      </c>
      <c r="B18">
        <v>7.2709999999999997E-2</v>
      </c>
      <c r="C18">
        <v>7.4340000000000003E-2</v>
      </c>
      <c r="D18">
        <f t="shared" si="0"/>
        <v>1.6300000000000064E-3</v>
      </c>
      <c r="E18">
        <v>15</v>
      </c>
      <c r="F18" s="2">
        <f t="shared" si="1"/>
        <v>1.0866666666666709E-4</v>
      </c>
    </row>
    <row r="19" spans="1:6" x14ac:dyDescent="0.25">
      <c r="A19" t="s">
        <v>93</v>
      </c>
      <c r="B19">
        <v>7.263E-2</v>
      </c>
      <c r="C19">
        <v>7.3870000000000005E-2</v>
      </c>
      <c r="D19">
        <f t="shared" si="0"/>
        <v>1.240000000000005E-3</v>
      </c>
      <c r="E19">
        <v>14</v>
      </c>
      <c r="F19" s="2">
        <f t="shared" si="1"/>
        <v>8.8571428571428932E-5</v>
      </c>
    </row>
    <row r="20" spans="1:6" x14ac:dyDescent="0.25">
      <c r="A20" t="s">
        <v>94</v>
      </c>
      <c r="B20">
        <v>6.8879999999999997E-2</v>
      </c>
      <c r="C20">
        <v>7.0550000000000002E-2</v>
      </c>
      <c r="D20">
        <f t="shared" si="0"/>
        <v>1.6700000000000048E-3</v>
      </c>
      <c r="E20">
        <v>15</v>
      </c>
      <c r="F20" s="2">
        <f t="shared" si="1"/>
        <v>1.1133333333333366E-4</v>
      </c>
    </row>
    <row r="21" spans="1:6" x14ac:dyDescent="0.25">
      <c r="A21" t="s">
        <v>95</v>
      </c>
      <c r="B21">
        <v>6.8709999999999993E-2</v>
      </c>
      <c r="C21">
        <v>7.041E-2</v>
      </c>
      <c r="D21">
        <f t="shared" si="0"/>
        <v>1.7000000000000071E-3</v>
      </c>
      <c r="E21">
        <v>14</v>
      </c>
      <c r="F21" s="2">
        <f t="shared" si="1"/>
        <v>1.2142857142857193E-4</v>
      </c>
    </row>
    <row r="22" spans="1:6" x14ac:dyDescent="0.25">
      <c r="A22" t="s">
        <v>99</v>
      </c>
      <c r="B22">
        <v>6.343E-2</v>
      </c>
      <c r="C22">
        <v>6.497E-2</v>
      </c>
      <c r="D22">
        <f t="shared" si="0"/>
        <v>1.5399999999999997E-3</v>
      </c>
      <c r="E22">
        <v>16</v>
      </c>
      <c r="F22" s="2">
        <f t="shared" si="1"/>
        <v>9.6249999999999981E-5</v>
      </c>
    </row>
    <row r="23" spans="1:6" x14ac:dyDescent="0.25">
      <c r="A23" t="s">
        <v>100</v>
      </c>
      <c r="B23">
        <v>6.5629999999999994E-2</v>
      </c>
      <c r="C23">
        <v>6.7150000000000001E-2</v>
      </c>
      <c r="D23">
        <f t="shared" si="0"/>
        <v>1.5200000000000075E-3</v>
      </c>
      <c r="E23">
        <v>15</v>
      </c>
      <c r="F23" s="2">
        <f t="shared" si="1"/>
        <v>1.0133333333333384E-4</v>
      </c>
    </row>
    <row r="24" spans="1:6" x14ac:dyDescent="0.25">
      <c r="A24" t="s">
        <v>101</v>
      </c>
      <c r="B24">
        <v>7.8969999999999999E-2</v>
      </c>
      <c r="C24">
        <v>8.0799999999999997E-2</v>
      </c>
      <c r="D24">
        <f t="shared" si="0"/>
        <v>1.8299999999999983E-3</v>
      </c>
      <c r="E24">
        <v>15</v>
      </c>
      <c r="F24" s="2">
        <f t="shared" si="1"/>
        <v>1.2199999999999989E-4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O52"/>
  <sheetViews>
    <sheetView topLeftCell="A30" workbookViewId="0">
      <selection activeCell="L31" sqref="L31:O52"/>
    </sheetView>
  </sheetViews>
  <sheetFormatPr defaultColWidth="11" defaultRowHeight="15.75" x14ac:dyDescent="0.25"/>
  <cols>
    <col min="1" max="1" width="12.875" customWidth="1"/>
    <col min="2" max="2" width="23" customWidth="1"/>
    <col min="5" max="5" width="16" customWidth="1"/>
  </cols>
  <sheetData>
    <row r="1" spans="1:10" x14ac:dyDescent="0.25">
      <c r="D1" t="s">
        <v>102</v>
      </c>
      <c r="E1">
        <v>21</v>
      </c>
      <c r="F1">
        <v>17</v>
      </c>
    </row>
    <row r="3" spans="1:10" x14ac:dyDescent="0.25">
      <c r="A3" t="s">
        <v>75</v>
      </c>
      <c r="B3" t="s">
        <v>103</v>
      </c>
      <c r="C3" t="s">
        <v>104</v>
      </c>
      <c r="D3" t="s">
        <v>105</v>
      </c>
      <c r="E3" t="s">
        <v>106</v>
      </c>
    </row>
    <row r="4" spans="1:10" x14ac:dyDescent="0.25">
      <c r="A4" t="s">
        <v>108</v>
      </c>
      <c r="B4">
        <v>0</v>
      </c>
      <c r="D4">
        <v>0</v>
      </c>
      <c r="E4">
        <v>0</v>
      </c>
      <c r="G4">
        <v>0</v>
      </c>
    </row>
    <row r="5" spans="1:10" x14ac:dyDescent="0.25">
      <c r="A5" t="s">
        <v>109</v>
      </c>
      <c r="B5">
        <v>0</v>
      </c>
      <c r="D5">
        <v>0</v>
      </c>
      <c r="E5">
        <v>0</v>
      </c>
      <c r="G5">
        <v>0</v>
      </c>
    </row>
    <row r="6" spans="1:10" x14ac:dyDescent="0.25">
      <c r="A6" t="s">
        <v>81</v>
      </c>
      <c r="B6">
        <v>195</v>
      </c>
      <c r="C6" s="4">
        <f>(B6*391)/(2220000*10.9)*1000/'Mosher Masses 1.0 28'!D4</f>
        <v>2203.4127538714683</v>
      </c>
      <c r="D6" s="5">
        <f>(B6*391)/(2220000*10.9)*1000/'Mosher Masses 1.0 28'!E4</f>
        <v>0.21005868253574675</v>
      </c>
      <c r="E6" s="4">
        <f>AVERAGE(C6:C8)</f>
        <v>2548.4700714058467</v>
      </c>
      <c r="F6" s="20">
        <f>STDEV(C6:C8)/E6</f>
        <v>0.26503133229468001</v>
      </c>
      <c r="G6">
        <v>3</v>
      </c>
      <c r="I6" t="s">
        <v>110</v>
      </c>
      <c r="J6" t="s">
        <v>106</v>
      </c>
    </row>
    <row r="7" spans="1:10" x14ac:dyDescent="0.25">
      <c r="A7" t="s">
        <v>82</v>
      </c>
      <c r="B7">
        <v>350</v>
      </c>
      <c r="C7" s="4">
        <f>(B7*391)/(2220000*10.9)*1000/'Mosher Masses 1.0 28'!D5</f>
        <v>3326.7212166294594</v>
      </c>
      <c r="D7" s="5">
        <f>(B7*391)/(2220000*10.9)*1000/'Mosher Masses 1.0 28'!E5</f>
        <v>0.37702840455134029</v>
      </c>
      <c r="G7">
        <v>3</v>
      </c>
      <c r="I7">
        <v>3</v>
      </c>
    </row>
    <row r="8" spans="1:10" x14ac:dyDescent="0.25">
      <c r="A8" t="s">
        <v>83</v>
      </c>
      <c r="B8">
        <v>216</v>
      </c>
      <c r="C8" s="4">
        <f>(B8*391)/(2220000*10.9)*1000/'Mosher Masses 1.0 28'!D6</f>
        <v>2115.2762437166125</v>
      </c>
      <c r="D8" s="5">
        <f>(B8*391)/(2220000*10.9)*1000/'Mosher Masses 1.0 28'!E6</f>
        <v>0.21813786263327548</v>
      </c>
      <c r="G8">
        <v>3</v>
      </c>
      <c r="I8">
        <v>6</v>
      </c>
    </row>
    <row r="9" spans="1:10" x14ac:dyDescent="0.25">
      <c r="A9" t="s">
        <v>84</v>
      </c>
      <c r="B9">
        <v>241</v>
      </c>
      <c r="C9" s="4">
        <f>(B9*391)/(2220000*10.9)*1000/'Mosher Masses 1.0 28'!D7</f>
        <v>2060.404659793036</v>
      </c>
      <c r="D9" s="5">
        <f>(B9*391)/(2220000*10.9)*1000/'Mosher Masses 1.0 28'!E7</f>
        <v>0.25961098713392289</v>
      </c>
      <c r="E9" s="4">
        <f>AVERAGE(C9:C11)</f>
        <v>2487.6589369098801</v>
      </c>
      <c r="F9" s="20">
        <f>STDEV(C9:C11)/E9</f>
        <v>0.1522626985784831</v>
      </c>
      <c r="G9">
        <v>6</v>
      </c>
      <c r="I9">
        <v>12</v>
      </c>
    </row>
    <row r="10" spans="1:10" x14ac:dyDescent="0.25">
      <c r="A10" t="s">
        <v>85</v>
      </c>
      <c r="B10">
        <v>300</v>
      </c>
      <c r="C10" s="4">
        <f>(B10*391)/(2220000*10.9)*1000/'Mosher Masses 1.0 28'!D8</f>
        <v>2620.274626225525</v>
      </c>
      <c r="D10" s="5">
        <f>(B10*391)/(2220000*10.9)*1000/'Mosher Masses 1.0 28'!E8</f>
        <v>0.32316720390114889</v>
      </c>
      <c r="G10">
        <v>6</v>
      </c>
      <c r="I10">
        <v>16</v>
      </c>
    </row>
    <row r="11" spans="1:10" x14ac:dyDescent="0.25">
      <c r="A11" t="s">
        <v>86</v>
      </c>
      <c r="B11">
        <v>291</v>
      </c>
      <c r="C11" s="4">
        <f>(B11*391)/(2220000*10.9)*1000/'Mosher Masses 1.0 28'!D9</f>
        <v>2782.2975247110794</v>
      </c>
      <c r="D11" s="5">
        <f>(B11*391)/(2220000*10.9)*1000/'Mosher Masses 1.0 28'!E9</f>
        <v>0.3134721877841144</v>
      </c>
      <c r="G11">
        <v>6</v>
      </c>
      <c r="I11">
        <v>24</v>
      </c>
    </row>
    <row r="12" spans="1:10" x14ac:dyDescent="0.25">
      <c r="A12" t="s">
        <v>87</v>
      </c>
      <c r="B12">
        <v>435</v>
      </c>
      <c r="C12" s="4">
        <f>(B12*391)/(2220000*10.9)*1000/'Mosher Masses 1.0 28'!D10</f>
        <v>3862.0256510164718</v>
      </c>
      <c r="D12" s="5">
        <f>(B12*391)/(2220000*10.9)*1000/'Mosher Masses 1.0 28'!E10</f>
        <v>0.4685924456566658</v>
      </c>
      <c r="E12" s="4">
        <f>AVERAGE(C12:C14)</f>
        <v>4642.9902957778868</v>
      </c>
      <c r="F12" s="20">
        <f>STDEV(C12:C14)/E12</f>
        <v>0.14576264133377076</v>
      </c>
      <c r="G12">
        <v>12</v>
      </c>
      <c r="I12">
        <v>36</v>
      </c>
    </row>
    <row r="13" spans="1:10" x14ac:dyDescent="0.25">
      <c r="A13" t="s">
        <v>88</v>
      </c>
      <c r="B13">
        <v>496</v>
      </c>
      <c r="C13" s="4">
        <f>(B13*391)/(2220000*10.9)*1000/'Mosher Masses 1.0 28'!D11</f>
        <v>5009.0916604678378</v>
      </c>
      <c r="D13" s="5">
        <f>(B13*391)/(2220000*10.9)*1000/'Mosher Masses 1.0 28'!E11</f>
        <v>0.53430311044989942</v>
      </c>
      <c r="G13">
        <v>12</v>
      </c>
    </row>
    <row r="14" spans="1:10" x14ac:dyDescent="0.25">
      <c r="A14" t="s">
        <v>89</v>
      </c>
      <c r="B14">
        <v>529</v>
      </c>
      <c r="C14" s="4">
        <f>(B14*391)/(2220000*10.9)*1000/'Mosher Masses 1.0 28'!D12</f>
        <v>5057.8535758493508</v>
      </c>
      <c r="D14" s="5">
        <f>(B14*391)/(2220000*10.9)*1000/'Mosher Masses 1.0 28'!E12</f>
        <v>0.56985150287902586</v>
      </c>
      <c r="G14">
        <v>12</v>
      </c>
    </row>
    <row r="15" spans="1:10" x14ac:dyDescent="0.25">
      <c r="A15" t="s">
        <v>177</v>
      </c>
      <c r="B15">
        <v>628</v>
      </c>
      <c r="C15" s="4">
        <f>(B15*391)/(2220000*10.9)*1000/'Mosher Masses 1.0 28'!D13</f>
        <v>6422.4368370228394</v>
      </c>
      <c r="D15" s="5">
        <f>(B15*391)/(2220000*10.9)*1000/'Mosher Masses 1.0 28'!E13</f>
        <v>0.7248178716068624</v>
      </c>
      <c r="E15" s="4">
        <f>AVERAGE(C15:C17)</f>
        <v>6484.0134365080448</v>
      </c>
      <c r="F15" s="20">
        <f>STDEV(C15:C17)/E15</f>
        <v>0.14010870857331739</v>
      </c>
      <c r="G15">
        <v>16</v>
      </c>
    </row>
    <row r="16" spans="1:10" x14ac:dyDescent="0.25">
      <c r="A16" t="s">
        <v>178</v>
      </c>
      <c r="B16">
        <v>666</v>
      </c>
      <c r="C16" s="4">
        <f>(B16*391)/(2220000*10.9)*1000/'Mosher Masses 1.0 28'!D14</f>
        <v>7421.701993040213</v>
      </c>
      <c r="D16" s="5">
        <f>(B16*391)/(2220000*10.9)*1000/'Mosher Masses 1.0 28'!E14</f>
        <v>0.71743119266055044</v>
      </c>
      <c r="G16">
        <v>16</v>
      </c>
    </row>
    <row r="17" spans="1:15" x14ac:dyDescent="0.25">
      <c r="A17" t="s">
        <v>179</v>
      </c>
      <c r="B17">
        <v>649</v>
      </c>
      <c r="C17" s="4">
        <f>(B17*391)/(2220000*10.9)*1000/'Mosher Masses 1.0 28'!D15</f>
        <v>5607.9014794610803</v>
      </c>
      <c r="D17" s="5">
        <f>(B17*391)/(2220000*10.9)*1000/'Mosher Masses 1.0 28'!E15</f>
        <v>0.61686916274072234</v>
      </c>
      <c r="G17">
        <v>16</v>
      </c>
    </row>
    <row r="18" spans="1:15" x14ac:dyDescent="0.25">
      <c r="A18" t="s">
        <v>90</v>
      </c>
      <c r="B18">
        <v>541</v>
      </c>
      <c r="C18" s="4">
        <f>(B18*391)/(2220000*10.9)*1000/'Mosher Masses 1.0 28'!D16</f>
        <v>6070.6061566152857</v>
      </c>
      <c r="D18" s="5">
        <f>(B18*391)/(2220000*10.9)*1000/'Mosher Masses 1.0 28'!E16</f>
        <v>0.58277819103507178</v>
      </c>
      <c r="E18" s="4">
        <f>AVERAGE(C18:C20)</f>
        <v>6932.6993673756742</v>
      </c>
      <c r="F18" s="20">
        <f>STDEV(C18:C20)/E18</f>
        <v>0.10805260951083454</v>
      </c>
      <c r="G18">
        <v>24</v>
      </c>
    </row>
    <row r="19" spans="1:15" x14ac:dyDescent="0.25">
      <c r="A19" t="s">
        <v>91</v>
      </c>
      <c r="B19">
        <v>583</v>
      </c>
      <c r="C19" s="4">
        <f>(B19*391)/(2220000*10.9)*1000/'Mosher Masses 1.0 28'!D17</f>
        <v>7302.5767393166607</v>
      </c>
      <c r="D19" s="5">
        <f>(B19*391)/(2220000*10.9)*1000/'Mosher Masses 1.0 28'!E17</f>
        <v>0.6280215995812326</v>
      </c>
      <c r="G19">
        <v>24</v>
      </c>
    </row>
    <row r="20" spans="1:15" x14ac:dyDescent="0.25">
      <c r="A20" t="s">
        <v>92</v>
      </c>
      <c r="B20">
        <v>749</v>
      </c>
      <c r="C20" s="4">
        <f>(B20*391)/(2220000*10.9)*1000/'Mosher Masses 1.0 28'!D18</f>
        <v>7424.9152061950772</v>
      </c>
      <c r="D20" s="5">
        <f>(B20*391)/(2220000*10.9)*1000/'Mosher Masses 1.0 28'!E18</f>
        <v>0.80684078573986828</v>
      </c>
      <c r="G20">
        <v>24</v>
      </c>
    </row>
    <row r="21" spans="1:15" x14ac:dyDescent="0.25">
      <c r="A21" t="s">
        <v>93</v>
      </c>
      <c r="B21">
        <v>644</v>
      </c>
      <c r="C21" s="4">
        <f>(B21*391)/(2220000*10.9)*1000/'Mosher Masses 1.0 28'!D19</f>
        <v>8391.9225529168962</v>
      </c>
      <c r="D21" s="5">
        <f>(B21*391)/(2220000*10.9)*1000/'Mosher Masses 1.0 28'!E19</f>
        <v>0.74328456897264239</v>
      </c>
      <c r="E21" s="4">
        <f>AVERAGE(C21:C23)</f>
        <v>11566.817839915282</v>
      </c>
      <c r="F21" s="20">
        <f>STDEV(C21:C23)/E21</f>
        <v>0.24824062417091852</v>
      </c>
      <c r="G21">
        <v>36</v>
      </c>
    </row>
    <row r="22" spans="1:15" x14ac:dyDescent="0.25">
      <c r="A22" t="s">
        <v>94</v>
      </c>
      <c r="B22">
        <v>1274</v>
      </c>
      <c r="C22" s="4">
        <f>(B22*391)/(2220000*10.9)*1000/'Mosher Masses 1.0 28'!D20</f>
        <v>12326.796939223426</v>
      </c>
      <c r="D22" s="5">
        <f>(B22*391)/(2220000*10.9)*1000/'Mosher Masses 1.0 28'!E20</f>
        <v>1.3723833925668787</v>
      </c>
      <c r="G22">
        <v>36</v>
      </c>
    </row>
    <row r="23" spans="1:15" x14ac:dyDescent="0.25">
      <c r="A23" t="s">
        <v>95</v>
      </c>
      <c r="B23">
        <v>1471</v>
      </c>
      <c r="C23" s="4">
        <f>(B23*391)/(2220000*10.9)*1000/'Mosher Masses 1.0 28'!D21</f>
        <v>13981.734027605527</v>
      </c>
      <c r="D23" s="5">
        <f>(B23*391)/(2220000*10.9)*1000/'Mosher Masses 1.0 28'!E21</f>
        <v>1.6977819890663925</v>
      </c>
      <c r="G23">
        <v>36</v>
      </c>
    </row>
    <row r="24" spans="1:15" x14ac:dyDescent="0.25">
      <c r="A24" t="s">
        <v>99</v>
      </c>
      <c r="B24">
        <v>6</v>
      </c>
      <c r="C24" s="4">
        <v>73.447091795715551</v>
      </c>
      <c r="D24" s="5">
        <f>(B24*391)/(2220000*10.9)*1000/'Mosher Masses 1.0 28'!E22</f>
        <v>6.0593850731465414E-3</v>
      </c>
      <c r="E24" s="7">
        <f>AVERAGE(C24:C25)</f>
        <v>64.582787613473855</v>
      </c>
      <c r="F24" s="20">
        <f>STDEV(C24:C26)/E24</f>
        <v>0.17057562863793366</v>
      </c>
    </row>
    <row r="25" spans="1:15" x14ac:dyDescent="0.25">
      <c r="A25" t="s">
        <v>100</v>
      </c>
      <c r="B25">
        <v>4</v>
      </c>
      <c r="C25" s="4">
        <v>55.718483431232166</v>
      </c>
      <c r="D25" s="5">
        <f>(B25*391)/(2220000*10.9)*1000/'Mosher Masses 1.0 28'!E23</f>
        <v>4.3088960520153178E-3</v>
      </c>
    </row>
    <row r="26" spans="1:15" x14ac:dyDescent="0.25">
      <c r="A26" t="s">
        <v>101</v>
      </c>
      <c r="B26">
        <v>7</v>
      </c>
      <c r="C26" s="4">
        <v>75.91175930563908</v>
      </c>
      <c r="D26" s="5">
        <f>(B26*391)/(2220000*10.9)*1000/'Mosher Masses 1.0 28'!E24</f>
        <v>7.5405680910268068E-3</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1</v>
      </c>
      <c r="C32">
        <v>1</v>
      </c>
      <c r="D32">
        <v>3</v>
      </c>
      <c r="E32">
        <v>4</v>
      </c>
      <c r="F32">
        <v>8</v>
      </c>
      <c r="G32" s="21"/>
      <c r="I32" t="s">
        <v>102</v>
      </c>
      <c r="J32">
        <v>17</v>
      </c>
      <c r="L32">
        <v>0</v>
      </c>
      <c r="M32">
        <v>0</v>
      </c>
      <c r="N32">
        <v>0</v>
      </c>
      <c r="O32">
        <v>0</v>
      </c>
    </row>
    <row r="33" spans="1:15" x14ac:dyDescent="0.25">
      <c r="A33" t="s">
        <v>123</v>
      </c>
      <c r="B33">
        <v>51</v>
      </c>
      <c r="C33">
        <v>5</v>
      </c>
      <c r="D33">
        <v>7</v>
      </c>
      <c r="E33">
        <v>364</v>
      </c>
      <c r="F33">
        <v>4</v>
      </c>
      <c r="G33" s="21">
        <f t="shared" ref="G33:G38" si="0">(E33)/(SUM(B33+C33+D33+E33+F33))</f>
        <v>0.84454756380510443</v>
      </c>
      <c r="L33">
        <v>0</v>
      </c>
      <c r="M33">
        <v>0</v>
      </c>
      <c r="N33">
        <v>0</v>
      </c>
      <c r="O33">
        <v>0</v>
      </c>
    </row>
    <row r="34" spans="1:15" x14ac:dyDescent="0.25">
      <c r="A34" t="s">
        <v>124</v>
      </c>
      <c r="B34">
        <v>144</v>
      </c>
      <c r="C34">
        <v>8</v>
      </c>
      <c r="D34">
        <v>12</v>
      </c>
      <c r="E34">
        <v>454</v>
      </c>
      <c r="F34">
        <v>3</v>
      </c>
      <c r="G34" s="21">
        <f t="shared" si="0"/>
        <v>0.7310789049919485</v>
      </c>
      <c r="L34">
        <v>0</v>
      </c>
      <c r="M34">
        <v>0</v>
      </c>
      <c r="N34">
        <v>0</v>
      </c>
      <c r="O34">
        <v>0</v>
      </c>
    </row>
    <row r="35" spans="1:15" x14ac:dyDescent="0.25">
      <c r="A35" t="s">
        <v>125</v>
      </c>
      <c r="B35">
        <v>279</v>
      </c>
      <c r="C35">
        <v>20</v>
      </c>
      <c r="D35">
        <v>15</v>
      </c>
      <c r="E35">
        <v>496</v>
      </c>
      <c r="F35">
        <v>5</v>
      </c>
      <c r="G35" s="21">
        <f t="shared" si="0"/>
        <v>0.60858895705521476</v>
      </c>
      <c r="L35">
        <v>3</v>
      </c>
      <c r="M35">
        <v>2203</v>
      </c>
      <c r="N35" s="4">
        <f>M35*0.84</f>
        <v>1850.52</v>
      </c>
      <c r="O35" s="4">
        <f>M35-N35</f>
        <v>352.48</v>
      </c>
    </row>
    <row r="36" spans="1:15" x14ac:dyDescent="0.25">
      <c r="A36" t="s">
        <v>180</v>
      </c>
      <c r="B36">
        <v>510</v>
      </c>
      <c r="C36">
        <v>27</v>
      </c>
      <c r="D36">
        <v>30</v>
      </c>
      <c r="E36">
        <v>665</v>
      </c>
      <c r="F36">
        <v>8</v>
      </c>
      <c r="G36" s="21">
        <f t="shared" si="0"/>
        <v>0.53629032258064513</v>
      </c>
      <c r="L36">
        <v>3</v>
      </c>
      <c r="M36">
        <v>3327</v>
      </c>
      <c r="N36" s="4">
        <f t="shared" ref="N36:N37" si="1">M36*0.84</f>
        <v>2794.68</v>
      </c>
      <c r="O36" s="4">
        <f t="shared" ref="O36:O52" si="2">M36-N36</f>
        <v>532.32000000000016</v>
      </c>
    </row>
    <row r="37" spans="1:15" x14ac:dyDescent="0.25">
      <c r="A37" t="s">
        <v>126</v>
      </c>
      <c r="B37">
        <v>647</v>
      </c>
      <c r="C37">
        <v>40</v>
      </c>
      <c r="D37">
        <v>31</v>
      </c>
      <c r="E37">
        <v>647</v>
      </c>
      <c r="F37">
        <v>7</v>
      </c>
      <c r="G37" s="21">
        <f t="shared" si="0"/>
        <v>0.4715743440233236</v>
      </c>
      <c r="L37">
        <v>3</v>
      </c>
      <c r="M37">
        <v>2115</v>
      </c>
      <c r="N37" s="4">
        <f t="shared" si="1"/>
        <v>1776.6</v>
      </c>
      <c r="O37" s="4">
        <f t="shared" si="2"/>
        <v>338.40000000000009</v>
      </c>
    </row>
    <row r="38" spans="1:15" x14ac:dyDescent="0.25">
      <c r="A38" t="s">
        <v>127</v>
      </c>
      <c r="B38">
        <v>1365</v>
      </c>
      <c r="C38">
        <v>102</v>
      </c>
      <c r="D38">
        <v>49</v>
      </c>
      <c r="E38">
        <v>675</v>
      </c>
      <c r="F38">
        <v>3</v>
      </c>
      <c r="G38" s="21">
        <f t="shared" si="0"/>
        <v>0.30765724703737468</v>
      </c>
      <c r="L38">
        <v>6</v>
      </c>
      <c r="M38">
        <v>2060</v>
      </c>
      <c r="N38" s="4">
        <f>M38*0.73</f>
        <v>1503.8</v>
      </c>
      <c r="O38" s="4">
        <f t="shared" si="2"/>
        <v>556.20000000000005</v>
      </c>
    </row>
    <row r="39" spans="1:15" x14ac:dyDescent="0.25">
      <c r="L39">
        <v>6</v>
      </c>
      <c r="M39">
        <v>2620</v>
      </c>
      <c r="N39" s="4">
        <f t="shared" ref="N39:N40" si="3">M39*0.73</f>
        <v>1912.6</v>
      </c>
      <c r="O39" s="4">
        <f t="shared" si="2"/>
        <v>707.40000000000009</v>
      </c>
    </row>
    <row r="40" spans="1:15" x14ac:dyDescent="0.25">
      <c r="L40">
        <v>6</v>
      </c>
      <c r="M40">
        <v>2782</v>
      </c>
      <c r="N40" s="4">
        <f t="shared" si="3"/>
        <v>2030.86</v>
      </c>
      <c r="O40" s="4">
        <f t="shared" si="2"/>
        <v>751.1400000000001</v>
      </c>
    </row>
    <row r="41" spans="1:15" x14ac:dyDescent="0.25">
      <c r="L41">
        <v>12</v>
      </c>
      <c r="M41">
        <v>3862</v>
      </c>
      <c r="N41" s="4">
        <f>M41*0.61</f>
        <v>2355.8200000000002</v>
      </c>
      <c r="O41" s="4">
        <f t="shared" si="2"/>
        <v>1506.1799999999998</v>
      </c>
    </row>
    <row r="42" spans="1:15" x14ac:dyDescent="0.25">
      <c r="L42">
        <v>12</v>
      </c>
      <c r="M42">
        <v>5009</v>
      </c>
      <c r="N42" s="4">
        <f t="shared" ref="N42:N43" si="4">M42*0.61</f>
        <v>3055.49</v>
      </c>
      <c r="O42" s="4">
        <f t="shared" si="2"/>
        <v>1953.5100000000002</v>
      </c>
    </row>
    <row r="43" spans="1:15" x14ac:dyDescent="0.25">
      <c r="L43">
        <v>12</v>
      </c>
      <c r="M43">
        <v>5058</v>
      </c>
      <c r="N43" s="4">
        <f t="shared" si="4"/>
        <v>3085.38</v>
      </c>
      <c r="O43" s="4">
        <f t="shared" si="2"/>
        <v>1972.62</v>
      </c>
    </row>
    <row r="44" spans="1:15" x14ac:dyDescent="0.25">
      <c r="L44">
        <v>16</v>
      </c>
      <c r="M44">
        <v>6422</v>
      </c>
      <c r="N44" s="4">
        <f>M44*0.54</f>
        <v>3467.88</v>
      </c>
      <c r="O44" s="4">
        <f t="shared" si="2"/>
        <v>2954.12</v>
      </c>
    </row>
    <row r="45" spans="1:15" x14ac:dyDescent="0.25">
      <c r="L45">
        <v>16</v>
      </c>
      <c r="M45">
        <v>7422</v>
      </c>
      <c r="N45" s="4">
        <f t="shared" ref="N45:N46" si="5">M45*0.54</f>
        <v>4007.88</v>
      </c>
      <c r="O45" s="4">
        <f t="shared" si="2"/>
        <v>3414.12</v>
      </c>
    </row>
    <row r="46" spans="1:15" x14ac:dyDescent="0.25">
      <c r="L46">
        <v>16</v>
      </c>
      <c r="M46">
        <v>5608</v>
      </c>
      <c r="N46" s="4">
        <f t="shared" si="5"/>
        <v>3028.32</v>
      </c>
      <c r="O46" s="4">
        <f t="shared" si="2"/>
        <v>2579.6799999999998</v>
      </c>
    </row>
    <row r="47" spans="1:15" x14ac:dyDescent="0.25">
      <c r="L47">
        <v>24</v>
      </c>
      <c r="M47">
        <v>6071</v>
      </c>
      <c r="N47" s="4">
        <f>M47*0.47</f>
        <v>2853.37</v>
      </c>
      <c r="O47" s="4">
        <f t="shared" si="2"/>
        <v>3217.63</v>
      </c>
    </row>
    <row r="48" spans="1:15" x14ac:dyDescent="0.25">
      <c r="L48">
        <v>24</v>
      </c>
      <c r="M48">
        <v>7303</v>
      </c>
      <c r="N48" s="4">
        <f t="shared" ref="N48:N49" si="6">M48*0.47</f>
        <v>3432.41</v>
      </c>
      <c r="O48" s="4">
        <f t="shared" si="2"/>
        <v>3870.59</v>
      </c>
    </row>
    <row r="49" spans="12:15" x14ac:dyDescent="0.25">
      <c r="L49">
        <v>24</v>
      </c>
      <c r="M49">
        <v>7425</v>
      </c>
      <c r="N49" s="4">
        <f t="shared" si="6"/>
        <v>3489.75</v>
      </c>
      <c r="O49" s="4">
        <f t="shared" si="2"/>
        <v>3935.25</v>
      </c>
    </row>
    <row r="50" spans="12:15" x14ac:dyDescent="0.25">
      <c r="L50">
        <v>36</v>
      </c>
      <c r="M50">
        <v>8392</v>
      </c>
      <c r="N50" s="4">
        <f>M50*0.31</f>
        <v>2601.52</v>
      </c>
      <c r="O50" s="4">
        <f t="shared" si="2"/>
        <v>5790.48</v>
      </c>
    </row>
    <row r="51" spans="12:15" x14ac:dyDescent="0.25">
      <c r="L51">
        <v>36</v>
      </c>
      <c r="M51">
        <v>12327</v>
      </c>
      <c r="N51" s="4">
        <f t="shared" ref="N51:N52" si="7">M51*0.31</f>
        <v>3821.37</v>
      </c>
      <c r="O51" s="4">
        <f t="shared" si="2"/>
        <v>8505.630000000001</v>
      </c>
    </row>
    <row r="52" spans="12:15" x14ac:dyDescent="0.25">
      <c r="L52">
        <v>36</v>
      </c>
      <c r="M52">
        <v>13982</v>
      </c>
      <c r="N52" s="4">
        <f t="shared" si="7"/>
        <v>4334.42</v>
      </c>
      <c r="O52" s="4">
        <f t="shared" si="2"/>
        <v>9647.58</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I46"/>
  <sheetViews>
    <sheetView topLeftCell="A6" workbookViewId="0">
      <selection activeCell="C32" sqref="C32"/>
    </sheetView>
  </sheetViews>
  <sheetFormatPr defaultColWidth="11" defaultRowHeight="15.75" x14ac:dyDescent="0.25"/>
  <cols>
    <col min="2" max="2" width="22.625" customWidth="1"/>
    <col min="6" max="6" width="13" customWidth="1"/>
  </cols>
  <sheetData>
    <row r="1" spans="1:9" x14ac:dyDescent="0.25">
      <c r="C1" t="s">
        <v>102</v>
      </c>
      <c r="D1">
        <v>21</v>
      </c>
      <c r="E1">
        <v>17</v>
      </c>
    </row>
    <row r="3" spans="1:9" x14ac:dyDescent="0.25">
      <c r="A3" t="s">
        <v>75</v>
      </c>
      <c r="B3" t="s">
        <v>129</v>
      </c>
      <c r="C3" t="s">
        <v>130</v>
      </c>
      <c r="D3" t="s">
        <v>131</v>
      </c>
      <c r="E3" t="s">
        <v>132</v>
      </c>
      <c r="F3" t="s">
        <v>133</v>
      </c>
      <c r="H3" t="s">
        <v>134</v>
      </c>
    </row>
    <row r="4" spans="1:9" x14ac:dyDescent="0.25">
      <c r="A4" t="s">
        <v>136</v>
      </c>
      <c r="B4">
        <v>2</v>
      </c>
      <c r="C4">
        <f>B4/10</f>
        <v>0.2</v>
      </c>
      <c r="D4" s="4">
        <f>(C4*391*1000)/(2220000*10.9)</f>
        <v>3.2316720390114886E-3</v>
      </c>
      <c r="E4" s="4"/>
    </row>
    <row r="5" spans="1:9" x14ac:dyDescent="0.25">
      <c r="A5" t="s">
        <v>137</v>
      </c>
      <c r="B5">
        <v>74</v>
      </c>
      <c r="C5">
        <f>B5/2000</f>
        <v>3.6999999999999998E-2</v>
      </c>
      <c r="D5" s="2">
        <f>(C5*391*1000)/(2220000*10.9)</f>
        <v>5.9785932721712531E-4</v>
      </c>
      <c r="E5" s="4">
        <f>D5*1000*1000</f>
        <v>597.85932721712527</v>
      </c>
    </row>
    <row r="6" spans="1:9" x14ac:dyDescent="0.25">
      <c r="A6" t="s">
        <v>138</v>
      </c>
      <c r="B6">
        <v>53</v>
      </c>
      <c r="C6">
        <f t="shared" ref="C6:C31" si="0">B6/2000</f>
        <v>2.6499999999999999E-2</v>
      </c>
      <c r="D6" s="2">
        <f t="shared" ref="D6:D31" si="1">(C6*391*1000)/(2220000*10.9)</f>
        <v>4.2819654516902222E-4</v>
      </c>
      <c r="E6" s="4">
        <f t="shared" ref="E6:E31" si="2">D6*1000*1000</f>
        <v>428.19654516902222</v>
      </c>
    </row>
    <row r="7" spans="1:9" x14ac:dyDescent="0.25">
      <c r="A7" t="s">
        <v>139</v>
      </c>
      <c r="B7">
        <v>60</v>
      </c>
      <c r="C7">
        <f t="shared" si="0"/>
        <v>0.03</v>
      </c>
      <c r="D7" s="2">
        <f t="shared" si="1"/>
        <v>4.8475080585172329E-4</v>
      </c>
      <c r="E7" s="4">
        <f t="shared" si="2"/>
        <v>484.75080585172333</v>
      </c>
    </row>
    <row r="8" spans="1:9" x14ac:dyDescent="0.25">
      <c r="A8" t="s">
        <v>181</v>
      </c>
      <c r="B8">
        <v>42</v>
      </c>
      <c r="C8">
        <f t="shared" si="0"/>
        <v>2.1000000000000001E-2</v>
      </c>
      <c r="D8" s="2">
        <f t="shared" si="1"/>
        <v>3.3932556409620629E-4</v>
      </c>
      <c r="E8" s="4">
        <f t="shared" si="2"/>
        <v>339.32556409620628</v>
      </c>
    </row>
    <row r="9" spans="1:9" x14ac:dyDescent="0.25">
      <c r="A9" t="s">
        <v>140</v>
      </c>
      <c r="B9">
        <v>54</v>
      </c>
      <c r="C9">
        <f t="shared" si="0"/>
        <v>2.7E-2</v>
      </c>
      <c r="D9" s="2">
        <f t="shared" si="1"/>
        <v>4.3627572526655094E-4</v>
      </c>
      <c r="E9" s="4">
        <f t="shared" si="2"/>
        <v>436.27572526655098</v>
      </c>
    </row>
    <row r="10" spans="1:9" x14ac:dyDescent="0.25">
      <c r="A10" t="s">
        <v>141</v>
      </c>
      <c r="B10">
        <v>54</v>
      </c>
      <c r="C10">
        <f t="shared" si="0"/>
        <v>2.7E-2</v>
      </c>
      <c r="D10" s="2">
        <f t="shared" si="1"/>
        <v>4.3627572526655094E-4</v>
      </c>
      <c r="E10" s="4">
        <f t="shared" si="2"/>
        <v>436.27572526655098</v>
      </c>
    </row>
    <row r="11" spans="1:9" x14ac:dyDescent="0.25">
      <c r="A11" t="s">
        <v>143</v>
      </c>
      <c r="B11">
        <v>74</v>
      </c>
      <c r="C11">
        <f t="shared" si="0"/>
        <v>3.6999999999999998E-2</v>
      </c>
      <c r="D11" s="2">
        <f t="shared" si="1"/>
        <v>5.9785932721712531E-4</v>
      </c>
      <c r="E11" s="4">
        <f t="shared" si="2"/>
        <v>597.85932721712527</v>
      </c>
      <c r="F11" s="4">
        <f>AVERAGE(E11:E13)</f>
        <v>492.82998594925198</v>
      </c>
      <c r="G11" s="20">
        <f>STDEV(E11:E13)/F11</f>
        <v>0.18474471589483027</v>
      </c>
      <c r="H11" s="13">
        <f>E11/1000</f>
        <v>0.59785932721712531</v>
      </c>
      <c r="I11">
        <v>3</v>
      </c>
    </row>
    <row r="12" spans="1:9" x14ac:dyDescent="0.25">
      <c r="A12" t="s">
        <v>144</v>
      </c>
      <c r="B12">
        <v>55</v>
      </c>
      <c r="C12">
        <f t="shared" si="0"/>
        <v>2.75E-2</v>
      </c>
      <c r="D12" s="2">
        <f t="shared" si="1"/>
        <v>4.4435490536407965E-4</v>
      </c>
      <c r="E12" s="4">
        <f t="shared" si="2"/>
        <v>444.35490536407968</v>
      </c>
      <c r="H12" s="13">
        <f t="shared" ref="H12:H28" si="3">E12/1000</f>
        <v>0.44435490536407968</v>
      </c>
      <c r="I12">
        <v>3</v>
      </c>
    </row>
    <row r="13" spans="1:9" x14ac:dyDescent="0.25">
      <c r="A13" t="s">
        <v>145</v>
      </c>
      <c r="B13">
        <v>54</v>
      </c>
      <c r="C13">
        <f t="shared" si="0"/>
        <v>2.7E-2</v>
      </c>
      <c r="D13" s="2">
        <f t="shared" si="1"/>
        <v>4.3627572526655094E-4</v>
      </c>
      <c r="E13" s="4">
        <f t="shared" si="2"/>
        <v>436.27572526655098</v>
      </c>
      <c r="H13" s="13">
        <f t="shared" si="3"/>
        <v>0.43627572526655095</v>
      </c>
      <c r="I13">
        <v>3</v>
      </c>
    </row>
    <row r="14" spans="1:9" x14ac:dyDescent="0.25">
      <c r="A14" t="s">
        <v>146</v>
      </c>
      <c r="B14">
        <v>48</v>
      </c>
      <c r="C14">
        <f t="shared" si="0"/>
        <v>2.4E-2</v>
      </c>
      <c r="D14" s="2">
        <f t="shared" si="1"/>
        <v>3.8780064468137864E-4</v>
      </c>
      <c r="E14" s="4">
        <f t="shared" si="2"/>
        <v>387.80064468137863</v>
      </c>
      <c r="F14" s="4">
        <f>AVERAGE(E14:E16)</f>
        <v>368.94922445381161</v>
      </c>
      <c r="G14" s="20">
        <f>STDEV(E14:E16)/F14</f>
        <v>4.5583926995608766E-2</v>
      </c>
      <c r="H14" s="13">
        <f t="shared" si="3"/>
        <v>0.38780064468137865</v>
      </c>
      <c r="I14">
        <v>6</v>
      </c>
    </row>
    <row r="15" spans="1:9" x14ac:dyDescent="0.25">
      <c r="A15" t="s">
        <v>147</v>
      </c>
      <c r="B15">
        <v>45</v>
      </c>
      <c r="C15">
        <f t="shared" si="0"/>
        <v>2.2499999999999999E-2</v>
      </c>
      <c r="D15" s="2">
        <f t="shared" si="1"/>
        <v>3.6356310438879244E-4</v>
      </c>
      <c r="E15" s="4">
        <f t="shared" si="2"/>
        <v>363.5631043887924</v>
      </c>
      <c r="H15" s="13">
        <f t="shared" si="3"/>
        <v>0.36356310438879241</v>
      </c>
      <c r="I15">
        <v>6</v>
      </c>
    </row>
    <row r="16" spans="1:9" x14ac:dyDescent="0.25">
      <c r="A16" t="s">
        <v>148</v>
      </c>
      <c r="B16">
        <v>44</v>
      </c>
      <c r="C16">
        <f t="shared" si="0"/>
        <v>2.1999999999999999E-2</v>
      </c>
      <c r="D16" s="2">
        <f t="shared" si="1"/>
        <v>3.5548392429126372E-4</v>
      </c>
      <c r="E16" s="4">
        <f t="shared" si="2"/>
        <v>355.48392429126375</v>
      </c>
      <c r="H16" s="13">
        <f t="shared" si="3"/>
        <v>0.35548392429126374</v>
      </c>
      <c r="I16">
        <v>6</v>
      </c>
    </row>
    <row r="17" spans="1:9" x14ac:dyDescent="0.25">
      <c r="A17" t="s">
        <v>149</v>
      </c>
      <c r="B17">
        <v>43</v>
      </c>
      <c r="C17">
        <f t="shared" si="0"/>
        <v>2.1499999999999998E-2</v>
      </c>
      <c r="D17" s="2">
        <f t="shared" si="1"/>
        <v>3.4740474419373501E-4</v>
      </c>
      <c r="E17" s="4">
        <f t="shared" si="2"/>
        <v>347.40474419373504</v>
      </c>
      <c r="F17" s="4">
        <f>AVERAGE(E17:E19)</f>
        <v>379.72146458385004</v>
      </c>
      <c r="G17" s="20">
        <f>STDEV(E17:E19)/F17</f>
        <v>7.3704289683782093E-2</v>
      </c>
      <c r="H17" s="13">
        <f t="shared" si="3"/>
        <v>0.34740474419373502</v>
      </c>
      <c r="I17">
        <v>12</v>
      </c>
    </row>
    <row r="18" spans="1:9" x14ac:dyDescent="0.25">
      <c r="A18" t="s">
        <v>150</v>
      </c>
      <c r="B18">
        <v>49</v>
      </c>
      <c r="C18">
        <f t="shared" si="0"/>
        <v>2.4500000000000001E-2</v>
      </c>
      <c r="D18" s="2">
        <f t="shared" si="1"/>
        <v>3.9587982477890741E-4</v>
      </c>
      <c r="E18" s="4">
        <f t="shared" si="2"/>
        <v>395.87982477890745</v>
      </c>
      <c r="H18" s="13">
        <f t="shared" si="3"/>
        <v>0.39587982477890743</v>
      </c>
      <c r="I18">
        <v>12</v>
      </c>
    </row>
    <row r="19" spans="1:9" x14ac:dyDescent="0.25">
      <c r="A19" t="s">
        <v>151</v>
      </c>
      <c r="B19">
        <v>49</v>
      </c>
      <c r="C19">
        <f t="shared" si="0"/>
        <v>2.4500000000000001E-2</v>
      </c>
      <c r="D19" s="2">
        <f t="shared" si="1"/>
        <v>3.9587982477890741E-4</v>
      </c>
      <c r="E19" s="4">
        <f t="shared" si="2"/>
        <v>395.87982477890745</v>
      </c>
      <c r="H19" s="13">
        <f t="shared" si="3"/>
        <v>0.39587982477890743</v>
      </c>
      <c r="I19">
        <v>12</v>
      </c>
    </row>
    <row r="20" spans="1:9" x14ac:dyDescent="0.25">
      <c r="A20" t="s">
        <v>182</v>
      </c>
      <c r="B20">
        <v>35</v>
      </c>
      <c r="C20">
        <f t="shared" si="0"/>
        <v>1.7500000000000002E-2</v>
      </c>
      <c r="D20" s="2">
        <f t="shared" si="1"/>
        <v>2.8277130341350522E-4</v>
      </c>
      <c r="E20" s="4">
        <f t="shared" si="2"/>
        <v>282.77130341350522</v>
      </c>
      <c r="F20" s="4">
        <f>AVERAGE(E20:E22)</f>
        <v>301.62272364107224</v>
      </c>
      <c r="G20" s="20">
        <f>STDEV(E20:E22)/F20</f>
        <v>8.6104024651722968E-2</v>
      </c>
      <c r="H20" s="13">
        <f t="shared" si="3"/>
        <v>0.2827713034135052</v>
      </c>
      <c r="I20">
        <v>16</v>
      </c>
    </row>
    <row r="21" spans="1:9" x14ac:dyDescent="0.25">
      <c r="A21" t="s">
        <v>183</v>
      </c>
      <c r="B21">
        <v>41</v>
      </c>
      <c r="C21">
        <f t="shared" si="0"/>
        <v>2.0500000000000001E-2</v>
      </c>
      <c r="D21" s="2">
        <f t="shared" si="1"/>
        <v>3.3124638399867763E-4</v>
      </c>
      <c r="E21" s="4">
        <f t="shared" si="2"/>
        <v>331.24638399867763</v>
      </c>
      <c r="H21" s="13">
        <f t="shared" si="3"/>
        <v>0.33124638399867762</v>
      </c>
      <c r="I21">
        <v>16</v>
      </c>
    </row>
    <row r="22" spans="1:9" x14ac:dyDescent="0.25">
      <c r="A22" t="s">
        <v>184</v>
      </c>
      <c r="B22">
        <v>36</v>
      </c>
      <c r="C22">
        <f t="shared" si="0"/>
        <v>1.7999999999999999E-2</v>
      </c>
      <c r="D22" s="2">
        <f t="shared" si="1"/>
        <v>2.9085048351103394E-4</v>
      </c>
      <c r="E22" s="4">
        <f t="shared" si="2"/>
        <v>290.85048351103393</v>
      </c>
      <c r="H22" s="13">
        <f t="shared" si="3"/>
        <v>0.29085048351103393</v>
      </c>
      <c r="I22">
        <v>16</v>
      </c>
    </row>
    <row r="23" spans="1:9" x14ac:dyDescent="0.25">
      <c r="A23" t="s">
        <v>152</v>
      </c>
      <c r="B23">
        <v>40</v>
      </c>
      <c r="C23">
        <f t="shared" si="0"/>
        <v>0.02</v>
      </c>
      <c r="D23" s="2">
        <f t="shared" si="1"/>
        <v>3.2316720390114886E-4</v>
      </c>
      <c r="E23" s="4">
        <f t="shared" si="2"/>
        <v>323.16720390114881</v>
      </c>
      <c r="F23" s="4">
        <f>AVERAGE(E23:E25)</f>
        <v>320.47414386863926</v>
      </c>
      <c r="G23" s="20">
        <f>STDEV(E23:E25)/F23</f>
        <v>3.8509039453410505E-2</v>
      </c>
      <c r="H23" s="13">
        <f t="shared" si="3"/>
        <v>0.32316720390114884</v>
      </c>
      <c r="I23">
        <v>24</v>
      </c>
    </row>
    <row r="24" spans="1:9" x14ac:dyDescent="0.25">
      <c r="A24" t="s">
        <v>153</v>
      </c>
      <c r="B24">
        <v>38</v>
      </c>
      <c r="C24">
        <f t="shared" si="0"/>
        <v>1.9E-2</v>
      </c>
      <c r="D24" s="2">
        <f t="shared" si="1"/>
        <v>3.0700884370609137E-4</v>
      </c>
      <c r="E24" s="4">
        <f t="shared" si="2"/>
        <v>307.0088437060914</v>
      </c>
      <c r="H24" s="13">
        <f t="shared" si="3"/>
        <v>0.30700884370609138</v>
      </c>
      <c r="I24">
        <v>24</v>
      </c>
    </row>
    <row r="25" spans="1:9" x14ac:dyDescent="0.25">
      <c r="A25" t="s">
        <v>154</v>
      </c>
      <c r="B25">
        <v>41</v>
      </c>
      <c r="C25">
        <f t="shared" si="0"/>
        <v>2.0500000000000001E-2</v>
      </c>
      <c r="D25" s="2">
        <f t="shared" si="1"/>
        <v>3.3124638399867763E-4</v>
      </c>
      <c r="E25" s="4">
        <f t="shared" si="2"/>
        <v>331.24638399867763</v>
      </c>
      <c r="H25" s="13">
        <f t="shared" si="3"/>
        <v>0.33124638399867762</v>
      </c>
      <c r="I25">
        <v>24</v>
      </c>
    </row>
    <row r="26" spans="1:9" x14ac:dyDescent="0.25">
      <c r="A26" t="s">
        <v>155</v>
      </c>
      <c r="B26">
        <v>43</v>
      </c>
      <c r="C26">
        <f t="shared" si="0"/>
        <v>2.1499999999999998E-2</v>
      </c>
      <c r="D26" s="2">
        <f t="shared" si="1"/>
        <v>3.4740474419373501E-4</v>
      </c>
      <c r="E26" s="4">
        <f t="shared" si="2"/>
        <v>347.40474419373504</v>
      </c>
      <c r="F26" s="4">
        <f>AVERAGE(E26:E28)</f>
        <v>387.80064468137863</v>
      </c>
      <c r="G26" s="20">
        <f>STDEV(E26:E28)/F26</f>
        <v>0.18042195912175818</v>
      </c>
      <c r="H26" s="13">
        <f t="shared" si="3"/>
        <v>0.34740474419373502</v>
      </c>
      <c r="I26">
        <v>36</v>
      </c>
    </row>
    <row r="27" spans="1:9" x14ac:dyDescent="0.25">
      <c r="A27" t="s">
        <v>156</v>
      </c>
      <c r="B27">
        <v>43</v>
      </c>
      <c r="C27">
        <f t="shared" si="0"/>
        <v>2.1499999999999998E-2</v>
      </c>
      <c r="D27" s="2">
        <f t="shared" si="1"/>
        <v>3.4740474419373501E-4</v>
      </c>
      <c r="E27" s="4">
        <f t="shared" si="2"/>
        <v>347.40474419373504</v>
      </c>
      <c r="H27" s="13">
        <f t="shared" si="3"/>
        <v>0.34740474419373502</v>
      </c>
      <c r="I27">
        <v>36</v>
      </c>
    </row>
    <row r="28" spans="1:9" x14ac:dyDescent="0.25">
      <c r="A28" t="s">
        <v>157</v>
      </c>
      <c r="B28">
        <v>58</v>
      </c>
      <c r="C28">
        <f t="shared" si="0"/>
        <v>2.9000000000000001E-2</v>
      </c>
      <c r="D28" s="2">
        <f t="shared" si="1"/>
        <v>4.6859244565666586E-4</v>
      </c>
      <c r="E28" s="4">
        <f t="shared" si="2"/>
        <v>468.59244565666586</v>
      </c>
      <c r="H28" s="13">
        <f t="shared" si="3"/>
        <v>0.46859244565666586</v>
      </c>
      <c r="I28">
        <v>36</v>
      </c>
    </row>
    <row r="29" spans="1:9" x14ac:dyDescent="0.25">
      <c r="A29" t="s">
        <v>99</v>
      </c>
      <c r="B29">
        <v>4</v>
      </c>
      <c r="C29">
        <f t="shared" si="0"/>
        <v>2E-3</v>
      </c>
      <c r="D29" s="2">
        <f t="shared" si="1"/>
        <v>3.2316720390114885E-5</v>
      </c>
      <c r="E29" s="4">
        <f t="shared" si="2"/>
        <v>32.316720390114888</v>
      </c>
      <c r="F29" s="4">
        <f>AVERAGE(E29:E31)</f>
        <v>37.70284045513403</v>
      </c>
    </row>
    <row r="30" spans="1:9" x14ac:dyDescent="0.25">
      <c r="A30" t="s">
        <v>100</v>
      </c>
      <c r="B30">
        <v>7</v>
      </c>
      <c r="C30">
        <f t="shared" si="0"/>
        <v>3.5000000000000001E-3</v>
      </c>
      <c r="D30" s="2">
        <f t="shared" si="1"/>
        <v>5.6554260682701053E-5</v>
      </c>
      <c r="E30" s="4">
        <f t="shared" si="2"/>
        <v>56.554260682701049</v>
      </c>
    </row>
    <row r="31" spans="1:9" x14ac:dyDescent="0.25">
      <c r="A31" t="s">
        <v>101</v>
      </c>
      <c r="B31">
        <v>3</v>
      </c>
      <c r="C31">
        <f t="shared" si="0"/>
        <v>1.5E-3</v>
      </c>
      <c r="D31" s="2">
        <f t="shared" si="1"/>
        <v>2.4237540292586165E-5</v>
      </c>
      <c r="E31" s="4">
        <f t="shared" si="2"/>
        <v>24.237540292586164</v>
      </c>
    </row>
    <row r="32" spans="1:9" x14ac:dyDescent="0.25">
      <c r="D32" s="2"/>
      <c r="E32" s="4"/>
    </row>
    <row r="33" spans="1:5" x14ac:dyDescent="0.25">
      <c r="D33" s="2"/>
      <c r="E33" s="4"/>
    </row>
    <row r="34" spans="1:5" x14ac:dyDescent="0.25">
      <c r="A34" s="14" t="s">
        <v>164</v>
      </c>
      <c r="B34" s="14">
        <f t="array" ref="B34:C38">LINEST(E11:E28,I11:I28,TRUE,TRUE)</f>
        <v>-2.2309302116627259</v>
      </c>
      <c r="C34" s="15">
        <v>411.29973628488136</v>
      </c>
      <c r="D34" s="16" t="s">
        <v>165</v>
      </c>
      <c r="E34" s="17"/>
    </row>
    <row r="35" spans="1:5" x14ac:dyDescent="0.25">
      <c r="A35" s="14" t="s">
        <v>166</v>
      </c>
      <c r="B35" s="14">
        <v>1.5500959887156496</v>
      </c>
      <c r="C35" s="15">
        <v>30.461128178648575</v>
      </c>
      <c r="D35" s="16" t="s">
        <v>166</v>
      </c>
      <c r="E35" s="17"/>
    </row>
    <row r="36" spans="1:5" x14ac:dyDescent="0.25">
      <c r="A36" s="14" t="s">
        <v>167</v>
      </c>
      <c r="B36" s="14">
        <v>0.11462095932789286</v>
      </c>
      <c r="C36" s="15">
        <v>73.470298424009187</v>
      </c>
      <c r="D36" s="16" t="s">
        <v>168</v>
      </c>
      <c r="E36" s="17"/>
    </row>
    <row r="37" spans="1:5" x14ac:dyDescent="0.25">
      <c r="A37" s="14" t="s">
        <v>169</v>
      </c>
      <c r="B37" s="14">
        <v>2.0713561819287167</v>
      </c>
      <c r="C37" s="15">
        <v>16</v>
      </c>
      <c r="D37" s="16" t="s">
        <v>170</v>
      </c>
      <c r="E37" s="17"/>
    </row>
    <row r="38" spans="1:5" x14ac:dyDescent="0.25">
      <c r="A38" s="14" t="s">
        <v>171</v>
      </c>
      <c r="B38" s="14">
        <v>11180.941947313782</v>
      </c>
      <c r="C38" s="15">
        <v>86366.156008207472</v>
      </c>
      <c r="D38" s="16" t="s">
        <v>172</v>
      </c>
      <c r="E38" s="17"/>
    </row>
    <row r="39" spans="1:5" x14ac:dyDescent="0.25">
      <c r="D39" s="2"/>
      <c r="E39" s="4"/>
    </row>
    <row r="40" spans="1:5" x14ac:dyDescent="0.25">
      <c r="D40" s="2"/>
      <c r="E40" s="4"/>
    </row>
    <row r="41" spans="1:5" x14ac:dyDescent="0.25">
      <c r="A41" s="14" t="s">
        <v>173</v>
      </c>
      <c r="B41" s="14">
        <f>B34/B35</f>
        <v>-1.4392206856242429</v>
      </c>
      <c r="D41" s="2"/>
      <c r="E41" s="4"/>
    </row>
    <row r="42" spans="1:5" x14ac:dyDescent="0.25">
      <c r="A42" s="14" t="s">
        <v>174</v>
      </c>
      <c r="B42" s="14">
        <f>TDIST(ABS(B41),C37,2)</f>
        <v>0.16936479857849826</v>
      </c>
      <c r="C42" t="s">
        <v>175</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F24"/>
  <sheetViews>
    <sheetView workbookViewId="0">
      <selection activeCell="E4" sqref="E4"/>
    </sheetView>
  </sheetViews>
  <sheetFormatPr defaultColWidth="11" defaultRowHeight="15.75" x14ac:dyDescent="0.25"/>
  <cols>
    <col min="2" max="2" width="15.875" customWidth="1"/>
    <col min="3" max="3" width="20.5" customWidth="1"/>
    <col min="4" max="4" width="17.875" customWidth="1"/>
    <col min="5" max="5" width="7.625" customWidth="1"/>
    <col min="6" max="6" width="21.625" customWidth="1"/>
  </cols>
  <sheetData>
    <row r="1" spans="1:6" x14ac:dyDescent="0.25">
      <c r="A1" s="1" t="s">
        <v>196</v>
      </c>
    </row>
    <row r="3" spans="1:6" x14ac:dyDescent="0.25">
      <c r="A3" t="s">
        <v>75</v>
      </c>
      <c r="B3" t="s">
        <v>76</v>
      </c>
      <c r="C3" t="s">
        <v>77</v>
      </c>
      <c r="D3" t="s">
        <v>78</v>
      </c>
      <c r="E3" t="s">
        <v>79</v>
      </c>
      <c r="F3" t="s">
        <v>80</v>
      </c>
    </row>
    <row r="4" spans="1:6" x14ac:dyDescent="0.25">
      <c r="A4" t="s">
        <v>81</v>
      </c>
      <c r="B4">
        <v>7.5770000000000004E-2</v>
      </c>
      <c r="C4">
        <v>7.7660000000000007E-2</v>
      </c>
      <c r="D4">
        <f>C4-B4</f>
        <v>1.8900000000000028E-3</v>
      </c>
      <c r="E4">
        <v>15</v>
      </c>
      <c r="F4" s="2">
        <f>D4/E4</f>
        <v>1.2600000000000019E-4</v>
      </c>
    </row>
    <row r="5" spans="1:6" x14ac:dyDescent="0.25">
      <c r="A5" t="s">
        <v>82</v>
      </c>
      <c r="B5">
        <v>6.3030000000000003E-2</v>
      </c>
      <c r="C5">
        <v>6.4589999999999995E-2</v>
      </c>
      <c r="D5">
        <f t="shared" ref="D5:D24" si="0">C5-B5</f>
        <v>1.5599999999999919E-3</v>
      </c>
      <c r="E5">
        <v>15</v>
      </c>
      <c r="F5" s="2">
        <f t="shared" ref="F5:F24" si="1">D5/E5</f>
        <v>1.0399999999999947E-4</v>
      </c>
    </row>
    <row r="6" spans="1:6" x14ac:dyDescent="0.25">
      <c r="A6" t="s">
        <v>83</v>
      </c>
      <c r="B6">
        <v>6.9199999999999998E-2</v>
      </c>
      <c r="C6">
        <v>7.0669999999999997E-2</v>
      </c>
      <c r="D6">
        <f t="shared" si="0"/>
        <v>1.4699999999999991E-3</v>
      </c>
      <c r="E6">
        <v>15</v>
      </c>
      <c r="F6" s="2">
        <f t="shared" si="1"/>
        <v>9.7999999999999943E-5</v>
      </c>
    </row>
    <row r="7" spans="1:6" x14ac:dyDescent="0.25">
      <c r="A7" t="s">
        <v>84</v>
      </c>
      <c r="B7">
        <v>6.8750000000000006E-2</v>
      </c>
      <c r="C7">
        <v>7.0360000000000006E-2</v>
      </c>
      <c r="D7">
        <f t="shared" si="0"/>
        <v>1.6100000000000003E-3</v>
      </c>
      <c r="E7">
        <v>15</v>
      </c>
      <c r="F7" s="2">
        <f t="shared" si="1"/>
        <v>1.0733333333333336E-4</v>
      </c>
    </row>
    <row r="8" spans="1:6" x14ac:dyDescent="0.25">
      <c r="A8" t="s">
        <v>85</v>
      </c>
      <c r="B8">
        <v>7.1370000000000003E-2</v>
      </c>
      <c r="C8">
        <v>7.2950000000000001E-2</v>
      </c>
      <c r="D8">
        <f t="shared" si="0"/>
        <v>1.5799999999999981E-3</v>
      </c>
      <c r="E8">
        <v>14</v>
      </c>
      <c r="F8" s="2">
        <f t="shared" si="1"/>
        <v>1.1285714285714272E-4</v>
      </c>
    </row>
    <row r="9" spans="1:6" x14ac:dyDescent="0.25">
      <c r="A9" t="s">
        <v>86</v>
      </c>
      <c r="B9">
        <v>6.547E-2</v>
      </c>
      <c r="C9">
        <v>6.7799999999999999E-2</v>
      </c>
      <c r="D9">
        <f t="shared" si="0"/>
        <v>2.3299999999999987E-3</v>
      </c>
      <c r="E9">
        <v>16</v>
      </c>
      <c r="F9" s="2">
        <f t="shared" si="1"/>
        <v>1.4562499999999992E-4</v>
      </c>
    </row>
    <row r="10" spans="1:6" x14ac:dyDescent="0.25">
      <c r="A10" t="s">
        <v>87</v>
      </c>
      <c r="B10">
        <v>6.5680000000000002E-2</v>
      </c>
      <c r="C10">
        <v>6.7400000000000002E-2</v>
      </c>
      <c r="D10">
        <f t="shared" si="0"/>
        <v>1.7199999999999993E-3</v>
      </c>
      <c r="E10">
        <v>15</v>
      </c>
      <c r="F10" s="2">
        <f t="shared" si="1"/>
        <v>1.1466666666666662E-4</v>
      </c>
    </row>
    <row r="11" spans="1:6" x14ac:dyDescent="0.25">
      <c r="A11" t="s">
        <v>88</v>
      </c>
      <c r="B11">
        <v>6.2530000000000002E-2</v>
      </c>
      <c r="C11">
        <v>6.4060000000000006E-2</v>
      </c>
      <c r="D11">
        <f t="shared" si="0"/>
        <v>1.5300000000000036E-3</v>
      </c>
      <c r="E11">
        <v>15</v>
      </c>
      <c r="F11" s="2">
        <f t="shared" si="1"/>
        <v>1.0200000000000024E-4</v>
      </c>
    </row>
    <row r="12" spans="1:6" x14ac:dyDescent="0.25">
      <c r="A12" t="s">
        <v>89</v>
      </c>
      <c r="B12">
        <v>6.583E-2</v>
      </c>
      <c r="C12">
        <v>6.7739999999999995E-2</v>
      </c>
      <c r="D12">
        <f t="shared" si="0"/>
        <v>1.909999999999995E-3</v>
      </c>
      <c r="E12">
        <v>16</v>
      </c>
      <c r="F12" s="2">
        <f>D12/E12</f>
        <v>1.1937499999999969E-4</v>
      </c>
    </row>
    <row r="13" spans="1:6" x14ac:dyDescent="0.25">
      <c r="A13" t="s">
        <v>177</v>
      </c>
      <c r="B13">
        <v>7.6170000000000002E-2</v>
      </c>
      <c r="C13">
        <v>7.7929999999999999E-2</v>
      </c>
      <c r="D13">
        <f t="shared" si="0"/>
        <v>1.7599999999999977E-3</v>
      </c>
      <c r="E13">
        <v>15</v>
      </c>
      <c r="F13" s="2">
        <f t="shared" si="1"/>
        <v>1.1733333333333318E-4</v>
      </c>
    </row>
    <row r="14" spans="1:6" x14ac:dyDescent="0.25">
      <c r="A14" t="s">
        <v>178</v>
      </c>
      <c r="B14">
        <v>7.4510000000000007E-2</v>
      </c>
      <c r="C14">
        <v>7.6119999999999993E-2</v>
      </c>
      <c r="D14">
        <f t="shared" si="0"/>
        <v>1.6099999999999864E-3</v>
      </c>
      <c r="E14">
        <v>14</v>
      </c>
      <c r="F14" s="2">
        <f t="shared" si="1"/>
        <v>1.1499999999999903E-4</v>
      </c>
    </row>
    <row r="15" spans="1:6" x14ac:dyDescent="0.25">
      <c r="A15" t="s">
        <v>179</v>
      </c>
      <c r="B15">
        <v>8.5809999999999997E-2</v>
      </c>
      <c r="C15">
        <v>8.7569999999999995E-2</v>
      </c>
      <c r="D15">
        <f t="shared" si="0"/>
        <v>1.7599999999999977E-3</v>
      </c>
      <c r="E15">
        <v>15</v>
      </c>
      <c r="F15" s="2">
        <f t="shared" si="1"/>
        <v>1.1733333333333318E-4</v>
      </c>
    </row>
    <row r="16" spans="1:6" x14ac:dyDescent="0.25">
      <c r="A16" t="s">
        <v>90</v>
      </c>
      <c r="B16">
        <v>7.6780000000000001E-2</v>
      </c>
      <c r="C16">
        <v>7.8560000000000005E-2</v>
      </c>
      <c r="D16">
        <f t="shared" si="0"/>
        <v>1.7800000000000038E-3</v>
      </c>
      <c r="E16">
        <v>14</v>
      </c>
      <c r="F16" s="2">
        <f t="shared" si="1"/>
        <v>1.2714285714285741E-4</v>
      </c>
    </row>
    <row r="17" spans="1:6" x14ac:dyDescent="0.25">
      <c r="A17" t="s">
        <v>91</v>
      </c>
      <c r="B17">
        <v>8.9300000000000004E-2</v>
      </c>
      <c r="C17">
        <v>9.0939999999999993E-2</v>
      </c>
      <c r="D17">
        <f t="shared" si="0"/>
        <v>1.6399999999999887E-3</v>
      </c>
      <c r="E17">
        <v>16</v>
      </c>
      <c r="F17" s="2">
        <f t="shared" si="1"/>
        <v>1.0249999999999929E-4</v>
      </c>
    </row>
    <row r="18" spans="1:6" x14ac:dyDescent="0.25">
      <c r="A18" t="s">
        <v>92</v>
      </c>
      <c r="B18">
        <v>6.8580000000000002E-2</v>
      </c>
      <c r="C18">
        <v>7.0250000000000007E-2</v>
      </c>
      <c r="D18">
        <f t="shared" si="0"/>
        <v>1.6700000000000048E-3</v>
      </c>
      <c r="E18">
        <v>15</v>
      </c>
      <c r="F18" s="2">
        <f t="shared" si="1"/>
        <v>1.1133333333333366E-4</v>
      </c>
    </row>
    <row r="19" spans="1:6" x14ac:dyDescent="0.25">
      <c r="A19" t="s">
        <v>93</v>
      </c>
      <c r="B19">
        <v>6.8330000000000002E-2</v>
      </c>
      <c r="C19">
        <v>7.0169999999999996E-2</v>
      </c>
      <c r="D19">
        <f t="shared" si="0"/>
        <v>1.8399999999999944E-3</v>
      </c>
      <c r="E19">
        <v>15</v>
      </c>
      <c r="F19" s="2">
        <f t="shared" si="1"/>
        <v>1.226666666666663E-4</v>
      </c>
    </row>
    <row r="20" spans="1:6" x14ac:dyDescent="0.25">
      <c r="A20" t="s">
        <v>94</v>
      </c>
      <c r="B20">
        <v>8.0990000000000006E-2</v>
      </c>
      <c r="C20">
        <v>8.2430000000000003E-2</v>
      </c>
      <c r="D20">
        <f t="shared" si="0"/>
        <v>1.4399999999999968E-3</v>
      </c>
      <c r="E20">
        <v>15</v>
      </c>
      <c r="F20" s="2">
        <f t="shared" si="1"/>
        <v>9.5999999999999786E-5</v>
      </c>
    </row>
    <row r="21" spans="1:6" x14ac:dyDescent="0.25">
      <c r="A21" t="s">
        <v>95</v>
      </c>
      <c r="B21">
        <v>7.1199999999999999E-2</v>
      </c>
      <c r="C21">
        <v>7.288E-2</v>
      </c>
      <c r="D21">
        <f t="shared" si="0"/>
        <v>1.6800000000000009E-3</v>
      </c>
      <c r="E21">
        <v>16</v>
      </c>
      <c r="F21" s="2">
        <f t="shared" si="1"/>
        <v>1.0500000000000006E-4</v>
      </c>
    </row>
    <row r="22" spans="1:6" x14ac:dyDescent="0.25">
      <c r="A22" t="s">
        <v>99</v>
      </c>
      <c r="B22">
        <v>7.5310000000000002E-2</v>
      </c>
      <c r="C22">
        <v>7.6660000000000006E-2</v>
      </c>
      <c r="D22">
        <f t="shared" si="0"/>
        <v>1.350000000000004E-3</v>
      </c>
      <c r="E22">
        <v>15</v>
      </c>
      <c r="F22" s="2">
        <f t="shared" si="1"/>
        <v>9.0000000000000263E-5</v>
      </c>
    </row>
    <row r="23" spans="1:6" x14ac:dyDescent="0.25">
      <c r="A23" t="s">
        <v>100</v>
      </c>
      <c r="B23">
        <v>6.3250000000000001E-2</v>
      </c>
      <c r="C23">
        <v>6.4299999999999996E-2</v>
      </c>
      <c r="D23">
        <f t="shared" si="0"/>
        <v>1.0499999999999954E-3</v>
      </c>
      <c r="E23">
        <v>15</v>
      </c>
      <c r="F23" s="2">
        <f t="shared" si="1"/>
        <v>6.9999999999999696E-5</v>
      </c>
    </row>
    <row r="24" spans="1:6" x14ac:dyDescent="0.25">
      <c r="A24" t="s">
        <v>101</v>
      </c>
      <c r="B24">
        <v>6.9349999999999995E-2</v>
      </c>
      <c r="C24">
        <v>7.0739999999999997E-2</v>
      </c>
      <c r="D24">
        <f t="shared" si="0"/>
        <v>1.3900000000000023E-3</v>
      </c>
      <c r="E24">
        <v>15</v>
      </c>
      <c r="F24" s="2">
        <f t="shared" si="1"/>
        <v>9.2666666666666828E-5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S52"/>
  <sheetViews>
    <sheetView workbookViewId="0">
      <selection activeCell="C7" sqref="C7"/>
    </sheetView>
  </sheetViews>
  <sheetFormatPr defaultColWidth="11" defaultRowHeight="15.75" x14ac:dyDescent="0.25"/>
  <cols>
    <col min="1" max="1" width="13" customWidth="1"/>
    <col min="2" max="2" width="23.125" customWidth="1"/>
    <col min="5" max="5" width="16.875" customWidth="1"/>
  </cols>
  <sheetData>
    <row r="1" spans="1:14" x14ac:dyDescent="0.25">
      <c r="D1" t="s">
        <v>102</v>
      </c>
      <c r="E1">
        <v>20</v>
      </c>
    </row>
    <row r="2" spans="1:14" x14ac:dyDescent="0.25">
      <c r="M2">
        <v>1624</v>
      </c>
      <c r="N2">
        <v>0.39600000000000002</v>
      </c>
    </row>
    <row r="3" spans="1:14" x14ac:dyDescent="0.25">
      <c r="A3" t="s">
        <v>75</v>
      </c>
      <c r="B3" t="s">
        <v>103</v>
      </c>
      <c r="C3" t="s">
        <v>104</v>
      </c>
      <c r="D3" t="s">
        <v>105</v>
      </c>
      <c r="E3" t="s">
        <v>106</v>
      </c>
    </row>
    <row r="4" spans="1:14" x14ac:dyDescent="0.25">
      <c r="A4" t="s">
        <v>108</v>
      </c>
      <c r="B4">
        <v>6</v>
      </c>
      <c r="D4">
        <v>0</v>
      </c>
      <c r="E4">
        <v>0</v>
      </c>
      <c r="G4">
        <v>0</v>
      </c>
      <c r="M4">
        <f>M2/N2</f>
        <v>4101.0101010101007</v>
      </c>
    </row>
    <row r="5" spans="1:14" x14ac:dyDescent="0.25">
      <c r="A5" t="s">
        <v>109</v>
      </c>
      <c r="B5">
        <v>1</v>
      </c>
      <c r="D5">
        <v>0</v>
      </c>
      <c r="E5">
        <v>0</v>
      </c>
      <c r="G5">
        <v>0</v>
      </c>
    </row>
    <row r="6" spans="1:14" x14ac:dyDescent="0.25">
      <c r="A6" t="s">
        <v>81</v>
      </c>
      <c r="B6">
        <v>190</v>
      </c>
      <c r="C6" s="4">
        <f>(B6*391)/(2220000*10.9)*1000/'Mosher Masses 6.0 28'!D4</f>
        <v>1624.3854164343438</v>
      </c>
      <c r="D6" s="5">
        <f>(B6*391)/(2220000*10.9)*1000/'Mosher Masses 6.0 28'!E4</f>
        <v>0.20467256247072763</v>
      </c>
      <c r="E6" s="4">
        <f>AVERAGE(C6:C8)</f>
        <v>2051.74565521151</v>
      </c>
      <c r="F6" s="20">
        <f>STDEV(C6:C8)/E6</f>
        <v>0.18114638012488832</v>
      </c>
      <c r="G6">
        <v>3</v>
      </c>
      <c r="I6" t="s">
        <v>110</v>
      </c>
      <c r="J6" t="s">
        <v>106</v>
      </c>
    </row>
    <row r="7" spans="1:14" x14ac:dyDescent="0.25">
      <c r="A7" t="s">
        <v>82</v>
      </c>
      <c r="B7">
        <v>222</v>
      </c>
      <c r="C7" s="4">
        <f>(B7*391)/(2220000*10.9)*1000/'Mosher Masses 6.0 28'!D5</f>
        <v>2299.4589508351091</v>
      </c>
      <c r="D7" s="5">
        <f>(B7*391)/(2220000*10.9)*1000/'Mosher Masses 6.0 28'!E5</f>
        <v>0.23914373088685012</v>
      </c>
      <c r="G7">
        <v>3</v>
      </c>
      <c r="I7">
        <v>3</v>
      </c>
    </row>
    <row r="8" spans="1:14" x14ac:dyDescent="0.25">
      <c r="A8" t="s">
        <v>83</v>
      </c>
      <c r="B8">
        <v>203</v>
      </c>
      <c r="C8" s="4">
        <f>(B8*391)/(2220000*10.9)*1000/'Mosher Masses 6.0 28'!D6</f>
        <v>2231.392598365077</v>
      </c>
      <c r="D8" s="5">
        <f>(B8*391)/(2220000*10.9)*1000/'Mosher Masses 6.0 28'!E6</f>
        <v>0.21867647463977741</v>
      </c>
      <c r="G8">
        <v>3</v>
      </c>
      <c r="I8">
        <v>6</v>
      </c>
    </row>
    <row r="9" spans="1:14" x14ac:dyDescent="0.25">
      <c r="A9" t="s">
        <v>84</v>
      </c>
      <c r="B9">
        <v>396</v>
      </c>
      <c r="C9" s="4">
        <f>(B9*391)/(2220000*10.9)*1000/'Mosher Masses 6.0 28'!D7</f>
        <v>3974.3544330700288</v>
      </c>
      <c r="D9" s="5">
        <f>(B9*391)/(2220000*10.9)*1000/'Mosher Masses 6.0 28'!E7</f>
        <v>0.42658070914951651</v>
      </c>
      <c r="E9" s="4">
        <f>AVERAGE(C9:C11)</f>
        <v>3862.7747979819383</v>
      </c>
      <c r="F9" s="20">
        <f>STDEV(C9:C11)/E9</f>
        <v>9.1529448005726502E-2</v>
      </c>
      <c r="G9">
        <v>6</v>
      </c>
      <c r="I9">
        <v>12</v>
      </c>
    </row>
    <row r="10" spans="1:14" x14ac:dyDescent="0.25">
      <c r="A10" t="s">
        <v>85</v>
      </c>
      <c r="B10">
        <v>339</v>
      </c>
      <c r="C10" s="4">
        <f>(B10*391)/(2220000*10.9)*1000/'Mosher Masses 6.0 28'!D8</f>
        <v>3466.8886747623287</v>
      </c>
      <c r="D10" s="5">
        <f>(B10*391)/(2220000*10.9)*1000/'Mosher Masses 6.0 28'!E8</f>
        <v>0.39126315043746235</v>
      </c>
      <c r="G10">
        <v>6</v>
      </c>
      <c r="I10">
        <v>16</v>
      </c>
    </row>
    <row r="11" spans="1:14" x14ac:dyDescent="0.25">
      <c r="A11" t="s">
        <v>86</v>
      </c>
      <c r="B11">
        <v>598</v>
      </c>
      <c r="C11" s="4">
        <f>(B11*391)/(2220000*10.9)*1000/'Mosher Masses 6.0 28'!D9</f>
        <v>4147.0812861134573</v>
      </c>
      <c r="D11" s="5">
        <f>(B11*391)/(2220000*10.9)*1000/'Mosher Masses 6.0 28'!E9</f>
        <v>0.60391871229027194</v>
      </c>
      <c r="G11">
        <v>6</v>
      </c>
      <c r="I11">
        <v>24</v>
      </c>
    </row>
    <row r="12" spans="1:14" x14ac:dyDescent="0.25">
      <c r="A12" t="s">
        <v>87</v>
      </c>
      <c r="B12">
        <v>444</v>
      </c>
      <c r="C12" s="4">
        <f>(B12*391)/(2220000*10.9)*1000/'Mosher Masses 6.0 28'!D10</f>
        <v>4171.1115852357598</v>
      </c>
      <c r="D12" s="5">
        <f>(B12*391)/(2220000*10.9)*1000/'Mosher Masses 6.0 28'!E10</f>
        <v>0.47828746177370024</v>
      </c>
      <c r="E12" s="4">
        <f>AVERAGE(C12:C14)</f>
        <v>5848.9455355243199</v>
      </c>
      <c r="F12" s="20">
        <f>STDEV(C12:C14)/E12</f>
        <v>0.29082604076513247</v>
      </c>
      <c r="G12">
        <v>12</v>
      </c>
      <c r="I12">
        <v>36</v>
      </c>
    </row>
    <row r="13" spans="1:14" x14ac:dyDescent="0.25">
      <c r="A13" t="s">
        <v>88</v>
      </c>
      <c r="B13">
        <v>717</v>
      </c>
      <c r="C13" s="4">
        <f>(B13*391)/(2220000*10.9)*1000/'Mosher Masses 6.0 28'!D11</f>
        <v>7572.2511502327843</v>
      </c>
      <c r="D13" s="5">
        <f>(B13*391)/(2220000*10.9)*1000/'Mosher Masses 6.0 28'!E11</f>
        <v>0.77236961732374576</v>
      </c>
      <c r="G13">
        <v>12</v>
      </c>
    </row>
    <row r="14" spans="1:14" x14ac:dyDescent="0.25">
      <c r="A14" t="s">
        <v>89</v>
      </c>
      <c r="B14">
        <v>686</v>
      </c>
      <c r="C14" s="4">
        <f>(B14*391)/(2220000*10.9)*1000/'Mosher Masses 6.0 28'!D12</f>
        <v>5803.4738711044156</v>
      </c>
      <c r="D14" s="5">
        <f>(B14*391)/(2220000*10.9)*1000/'Mosher Masses 6.0 28'!E12</f>
        <v>0.69278969336308782</v>
      </c>
      <c r="G14">
        <v>12</v>
      </c>
    </row>
    <row r="15" spans="1:14" x14ac:dyDescent="0.25">
      <c r="A15" t="s">
        <v>177</v>
      </c>
      <c r="B15">
        <v>656</v>
      </c>
      <c r="C15" s="4">
        <f>(B15*391)/(2220000*10.9)*1000/'Mosher Masses 6.0 28'!D13</f>
        <v>6022.6615272486906</v>
      </c>
      <c r="D15" s="5">
        <f>(B15*391)/(2220000*10.9)*1000/'Mosher Masses 6.0 28'!E13</f>
        <v>0.70665895253051214</v>
      </c>
      <c r="E15" s="4">
        <f>AVERAGE(C15:C17)</f>
        <v>4895.142223123893</v>
      </c>
      <c r="F15" s="20">
        <f>STDEV(C15:C17)/E15</f>
        <v>0.28667848696717002</v>
      </c>
      <c r="G15">
        <v>16</v>
      </c>
      <c r="I15">
        <v>0</v>
      </c>
      <c r="J15">
        <v>0</v>
      </c>
    </row>
    <row r="16" spans="1:14" x14ac:dyDescent="0.25">
      <c r="A16" t="s">
        <v>178</v>
      </c>
      <c r="B16">
        <v>532</v>
      </c>
      <c r="C16" s="4">
        <f>(B16*391)/(2220000*10.9)*1000/'Mosher Masses 6.0 28'!D14</f>
        <v>5339.2842383668512</v>
      </c>
      <c r="D16" s="5">
        <f>(B16*391)/(2220000*10.9)*1000/'Mosher Masses 6.0 28'!E14</f>
        <v>0.61401768741218277</v>
      </c>
      <c r="G16">
        <v>16</v>
      </c>
      <c r="I16">
        <v>3</v>
      </c>
      <c r="J16">
        <v>2052</v>
      </c>
    </row>
    <row r="17" spans="1:19" x14ac:dyDescent="0.25">
      <c r="A17" t="s">
        <v>179</v>
      </c>
      <c r="B17">
        <v>362</v>
      </c>
      <c r="C17" s="4">
        <f>(B17*391)/(2220000*10.9)*1000/'Mosher Masses 6.0 28'!D15</f>
        <v>3323.4809037561372</v>
      </c>
      <c r="D17" s="5">
        <f>(B17*391)/(2220000*10.9)*1000/'Mosher Masses 6.0 28'!E15</f>
        <v>0.38995509270738626</v>
      </c>
      <c r="G17">
        <v>16</v>
      </c>
      <c r="I17">
        <v>6</v>
      </c>
      <c r="J17">
        <v>3863</v>
      </c>
    </row>
    <row r="18" spans="1:19" x14ac:dyDescent="0.25">
      <c r="A18" t="s">
        <v>90</v>
      </c>
      <c r="B18">
        <v>954</v>
      </c>
      <c r="C18" s="4">
        <f>(B18*391)/(2220000*10.9)*1000/'Mosher Masses 6.0 28'!D16</f>
        <v>8660.1548461150378</v>
      </c>
      <c r="D18" s="5">
        <f>(B18*391)/(2220000*10.9)*1000/'Mosher Masses 6.0 28'!E16</f>
        <v>1.1010768304346286</v>
      </c>
      <c r="E18" s="4">
        <f>AVERAGE(C18:C20)</f>
        <v>9139.0266713738765</v>
      </c>
      <c r="F18" s="20">
        <f>STDEV(C18:C20)/E18</f>
        <v>0.11783596681815289</v>
      </c>
      <c r="G18">
        <v>24</v>
      </c>
      <c r="I18">
        <v>12</v>
      </c>
      <c r="J18">
        <v>5849</v>
      </c>
    </row>
    <row r="19" spans="1:19" x14ac:dyDescent="0.25">
      <c r="A19" t="s">
        <v>91</v>
      </c>
      <c r="B19">
        <v>851</v>
      </c>
      <c r="C19" s="4">
        <f>(B19*391)/(2220000*10.9)*1000/'Mosher Masses 6.0 28'!D17</f>
        <v>8384.6125158499872</v>
      </c>
      <c r="D19" s="5">
        <f>(B19*391)/(2220000*10.9)*1000/'Mosher Masses 6.0 28'!E17</f>
        <v>0.85942278287461782</v>
      </c>
      <c r="G19">
        <v>24</v>
      </c>
      <c r="I19">
        <v>16</v>
      </c>
      <c r="J19">
        <v>4895</v>
      </c>
    </row>
    <row r="20" spans="1:19" x14ac:dyDescent="0.25">
      <c r="A20" t="s">
        <v>92</v>
      </c>
      <c r="B20">
        <v>1072</v>
      </c>
      <c r="C20" s="4">
        <f>(B20*391)/(2220000*10.9)*1000/'Mosher Masses 6.0 28'!D18</f>
        <v>10372.312652156605</v>
      </c>
      <c r="D20" s="5">
        <f>(B20*391)/(2220000*10.9)*1000/'Mosher Masses 6.0 28'!E18</f>
        <v>1.1547841419401053</v>
      </c>
      <c r="G20">
        <v>24</v>
      </c>
      <c r="I20">
        <v>24</v>
      </c>
      <c r="J20">
        <v>9139</v>
      </c>
    </row>
    <row r="21" spans="1:19" x14ac:dyDescent="0.25">
      <c r="A21" t="s">
        <v>93</v>
      </c>
      <c r="B21">
        <v>1260</v>
      </c>
      <c r="C21" s="4">
        <f>(B21*391)/(2220000*10.9)*1000/'Mosher Masses 6.0 28'!D19</f>
        <v>11064.964046615458</v>
      </c>
      <c r="D21" s="5">
        <f>(B21*391)/(2220000*10.9)*1000/'Mosher Masses 6.0 28'!E19</f>
        <v>1.3573022563848254</v>
      </c>
      <c r="E21" s="4">
        <f>AVERAGE(C21:C23)</f>
        <v>11354.993044595511</v>
      </c>
      <c r="F21" s="20">
        <f>STDEV(C21:C23)/E21</f>
        <v>3.0427515101070002E-2</v>
      </c>
      <c r="G21">
        <v>36</v>
      </c>
      <c r="I21">
        <v>36</v>
      </c>
      <c r="J21">
        <v>11355</v>
      </c>
    </row>
    <row r="22" spans="1:19" x14ac:dyDescent="0.25">
      <c r="A22" t="s">
        <v>94</v>
      </c>
      <c r="B22">
        <v>1046</v>
      </c>
      <c r="C22" s="4">
        <f>(B22*391)/(2220000*10.9)*1000/'Mosher Masses 6.0 28'!D20</f>
        <v>11737.253308354251</v>
      </c>
      <c r="D22" s="5">
        <f>(B22*391)/(2220000*10.9)*1000/'Mosher Masses 6.0 28'!E20</f>
        <v>1.1267763176020056</v>
      </c>
      <c r="G22">
        <v>36</v>
      </c>
    </row>
    <row r="23" spans="1:19" x14ac:dyDescent="0.25">
      <c r="A23" t="s">
        <v>95</v>
      </c>
      <c r="B23">
        <v>1171</v>
      </c>
      <c r="C23" s="4">
        <f>(B23*391)/(2220000*10.9)*1000/'Mosher Masses 6.0 28'!D21</f>
        <v>11262.761778816817</v>
      </c>
      <c r="D23" s="5">
        <f>(B23*391)/(2220000*10.9)*1000/'Mosher Masses 6.0 28'!E21</f>
        <v>1.1825899867757665</v>
      </c>
      <c r="G23">
        <v>36</v>
      </c>
    </row>
    <row r="24" spans="1:19" x14ac:dyDescent="0.25">
      <c r="A24" t="s">
        <v>99</v>
      </c>
      <c r="B24">
        <v>0</v>
      </c>
      <c r="C24" s="4">
        <f>(B24*391)/(2220000*10.9)*1000/'Mosher Masses 6.0 28'!D22</f>
        <v>0</v>
      </c>
      <c r="D24" s="5">
        <f>(B24*391)/(2220000*10.9)*1000/'Mosher Masses 6.0 28'!E22</f>
        <v>0</v>
      </c>
      <c r="E24" s="7">
        <f>AVERAGE(C24:C25)</f>
        <v>7.6944572357416732</v>
      </c>
      <c r="F24" s="20">
        <f>STDEV(C24:C26)/E24</f>
        <v>1.0425781857981005</v>
      </c>
    </row>
    <row r="25" spans="1:19" x14ac:dyDescent="0.25">
      <c r="A25" t="s">
        <v>100</v>
      </c>
      <c r="B25">
        <v>1</v>
      </c>
      <c r="C25" s="4">
        <f>(B25*391)/(2220000*10.9)*1000/'Mosher Masses 6.0 28'!D23</f>
        <v>15.388914471483346</v>
      </c>
      <c r="D25" s="5">
        <f>(B25*391)/(2220000*10.9)*1000/'Mosher Masses 6.0 28'!E23</f>
        <v>1.0772240130038295E-3</v>
      </c>
    </row>
    <row r="26" spans="1:19" x14ac:dyDescent="0.25">
      <c r="A26" t="s">
        <v>101</v>
      </c>
      <c r="B26">
        <v>1</v>
      </c>
      <c r="C26" s="4">
        <f>(B26*391)/(2220000*10.9)*1000/'Mosher Masses 6.0 28'!D24</f>
        <v>11.624719564789507</v>
      </c>
      <c r="D26" s="5">
        <f>(B26*391)/(2220000*10.9)*1000/'Mosher Masses 6.0 28'!E24</f>
        <v>1.0772240130038295E-3</v>
      </c>
    </row>
    <row r="31" spans="1:19" x14ac:dyDescent="0.25">
      <c r="A31" s="1" t="s">
        <v>112</v>
      </c>
      <c r="B31" t="s">
        <v>113</v>
      </c>
      <c r="C31" t="s">
        <v>114</v>
      </c>
      <c r="D31" t="s">
        <v>115</v>
      </c>
      <c r="E31" t="s">
        <v>116</v>
      </c>
      <c r="F31" t="s">
        <v>117</v>
      </c>
      <c r="G31" t="s">
        <v>118</v>
      </c>
      <c r="L31" t="s">
        <v>110</v>
      </c>
      <c r="M31" t="s">
        <v>119</v>
      </c>
      <c r="N31" t="s">
        <v>120</v>
      </c>
      <c r="O31" t="s">
        <v>121</v>
      </c>
      <c r="R31" t="s">
        <v>193</v>
      </c>
      <c r="S31" t="s">
        <v>188</v>
      </c>
    </row>
    <row r="32" spans="1:19" x14ac:dyDescent="0.25">
      <c r="A32" t="s">
        <v>122</v>
      </c>
      <c r="B32">
        <v>13</v>
      </c>
      <c r="C32">
        <v>3</v>
      </c>
      <c r="D32">
        <v>1</v>
      </c>
      <c r="E32">
        <v>4</v>
      </c>
      <c r="F32">
        <v>2</v>
      </c>
      <c r="G32" s="21">
        <f t="shared" ref="G32:G38" si="0">(E32)/(SUM(B32+C32+D32+E32+F32))</f>
        <v>0.17391304347826086</v>
      </c>
      <c r="I32" t="s">
        <v>102</v>
      </c>
      <c r="J32">
        <v>20</v>
      </c>
      <c r="L32">
        <v>0</v>
      </c>
      <c r="M32">
        <v>0</v>
      </c>
      <c r="N32">
        <v>0</v>
      </c>
      <c r="O32">
        <v>0</v>
      </c>
      <c r="Q32">
        <v>0</v>
      </c>
      <c r="R32">
        <v>0</v>
      </c>
      <c r="S32">
        <v>0</v>
      </c>
    </row>
    <row r="33" spans="1:19" x14ac:dyDescent="0.25">
      <c r="A33" t="s">
        <v>123</v>
      </c>
      <c r="B33">
        <v>44</v>
      </c>
      <c r="C33">
        <v>3</v>
      </c>
      <c r="D33">
        <v>6</v>
      </c>
      <c r="E33">
        <v>443</v>
      </c>
      <c r="F33">
        <v>1</v>
      </c>
      <c r="G33" s="21">
        <f t="shared" si="0"/>
        <v>0.89134808853118708</v>
      </c>
      <c r="L33">
        <v>0</v>
      </c>
      <c r="M33">
        <v>0</v>
      </c>
      <c r="N33">
        <v>0</v>
      </c>
      <c r="O33">
        <v>0</v>
      </c>
      <c r="Q33">
        <v>3</v>
      </c>
      <c r="R33" s="4">
        <f>AVERAGE(N35:N37)</f>
        <v>1825.6866666666667</v>
      </c>
      <c r="S33" s="4">
        <f>AVERAGE(O35:O37)</f>
        <v>225.64666666666662</v>
      </c>
    </row>
    <row r="34" spans="1:19" x14ac:dyDescent="0.25">
      <c r="A34" t="s">
        <v>124</v>
      </c>
      <c r="B34">
        <v>119</v>
      </c>
      <c r="C34">
        <v>27</v>
      </c>
      <c r="D34">
        <v>14</v>
      </c>
      <c r="E34">
        <v>594</v>
      </c>
      <c r="F34">
        <v>1</v>
      </c>
      <c r="G34" s="21">
        <f t="shared" si="0"/>
        <v>0.7867549668874172</v>
      </c>
      <c r="L34">
        <v>0</v>
      </c>
      <c r="M34">
        <v>0</v>
      </c>
      <c r="N34">
        <v>0</v>
      </c>
      <c r="O34">
        <v>0</v>
      </c>
      <c r="Q34">
        <v>6</v>
      </c>
      <c r="R34" s="4">
        <f>AVERAGE(N38:N40)</f>
        <v>3051.5066666666667</v>
      </c>
      <c r="S34" s="4">
        <f>AVERAGE(O38:O40)</f>
        <v>811.15999999999985</v>
      </c>
    </row>
    <row r="35" spans="1:19" x14ac:dyDescent="0.25">
      <c r="A35" t="s">
        <v>125</v>
      </c>
      <c r="B35">
        <v>280</v>
      </c>
      <c r="C35">
        <v>16</v>
      </c>
      <c r="D35">
        <v>15</v>
      </c>
      <c r="E35">
        <v>684</v>
      </c>
      <c r="F35">
        <v>5</v>
      </c>
      <c r="G35" s="21">
        <f t="shared" si="0"/>
        <v>0.68400000000000005</v>
      </c>
      <c r="L35">
        <v>3</v>
      </c>
      <c r="M35">
        <v>1624</v>
      </c>
      <c r="N35" s="4">
        <f>M35*0.89</f>
        <v>1445.3600000000001</v>
      </c>
      <c r="O35" s="4">
        <f>M35-N35</f>
        <v>178.63999999999987</v>
      </c>
      <c r="Q35">
        <v>12</v>
      </c>
      <c r="R35" s="4">
        <f>AVERAGE(N41:N43)</f>
        <v>3977.0933333333337</v>
      </c>
      <c r="S35" s="4">
        <f>AVERAGE(O41:O43)</f>
        <v>1871.573333333333</v>
      </c>
    </row>
    <row r="36" spans="1:19" x14ac:dyDescent="0.25">
      <c r="A36" t="s">
        <v>180</v>
      </c>
      <c r="B36">
        <v>327</v>
      </c>
      <c r="C36">
        <v>19</v>
      </c>
      <c r="D36">
        <v>17</v>
      </c>
      <c r="E36">
        <v>634</v>
      </c>
      <c r="F36">
        <v>3</v>
      </c>
      <c r="G36" s="21">
        <f t="shared" si="0"/>
        <v>0.63400000000000001</v>
      </c>
      <c r="L36">
        <v>3</v>
      </c>
      <c r="M36">
        <v>2299</v>
      </c>
      <c r="N36" s="4">
        <f t="shared" ref="N36:N37" si="1">M36*0.89</f>
        <v>2046.1100000000001</v>
      </c>
      <c r="O36" s="4">
        <f t="shared" ref="O36:O52" si="2">M36-N36</f>
        <v>252.88999999999987</v>
      </c>
      <c r="Q36">
        <v>16</v>
      </c>
      <c r="R36" s="4">
        <f>AVERAGE(N44:N46)</f>
        <v>3083.8500000000004</v>
      </c>
      <c r="S36" s="4">
        <f>AVERAGE(O44:O46)</f>
        <v>1811.1499999999996</v>
      </c>
    </row>
    <row r="37" spans="1:19" x14ac:dyDescent="0.25">
      <c r="A37" t="s">
        <v>126</v>
      </c>
      <c r="B37">
        <v>811</v>
      </c>
      <c r="C37">
        <v>37</v>
      </c>
      <c r="D37">
        <v>31</v>
      </c>
      <c r="E37">
        <v>893</v>
      </c>
      <c r="F37">
        <v>0</v>
      </c>
      <c r="G37" s="21">
        <f t="shared" si="0"/>
        <v>0.50395033860045146</v>
      </c>
      <c r="L37">
        <v>3</v>
      </c>
      <c r="M37">
        <v>2231</v>
      </c>
      <c r="N37" s="4">
        <f t="shared" si="1"/>
        <v>1985.59</v>
      </c>
      <c r="O37" s="4">
        <f t="shared" si="2"/>
        <v>245.41000000000008</v>
      </c>
      <c r="Q37">
        <v>24</v>
      </c>
      <c r="R37" s="4">
        <f>AVERAGE(N47:N49)</f>
        <v>4569.5</v>
      </c>
      <c r="S37" s="4">
        <f>AVERAGE(O47:O49)</f>
        <v>4569.5</v>
      </c>
    </row>
    <row r="38" spans="1:19" x14ac:dyDescent="0.25">
      <c r="A38" t="s">
        <v>127</v>
      </c>
      <c r="B38">
        <v>1009</v>
      </c>
      <c r="C38">
        <v>48</v>
      </c>
      <c r="D38">
        <v>28</v>
      </c>
      <c r="E38">
        <v>682</v>
      </c>
      <c r="F38">
        <v>1</v>
      </c>
      <c r="G38" s="21">
        <f t="shared" si="0"/>
        <v>0.38574660633484165</v>
      </c>
      <c r="L38">
        <v>6</v>
      </c>
      <c r="M38">
        <v>3974</v>
      </c>
      <c r="N38" s="4">
        <f>M38*0.79</f>
        <v>3139.46</v>
      </c>
      <c r="O38" s="4">
        <f t="shared" si="2"/>
        <v>834.54</v>
      </c>
      <c r="Q38">
        <v>36</v>
      </c>
      <c r="R38" s="4">
        <f>AVERAGE(N50:N52)</f>
        <v>4428.45</v>
      </c>
      <c r="S38" s="4">
        <f>AVERAGE(O50:O52)</f>
        <v>6926.55</v>
      </c>
    </row>
    <row r="39" spans="1:19" x14ac:dyDescent="0.25">
      <c r="L39">
        <v>6</v>
      </c>
      <c r="M39">
        <v>3467</v>
      </c>
      <c r="N39" s="4">
        <f t="shared" ref="N39:N40" si="3">M39*0.79</f>
        <v>2738.9300000000003</v>
      </c>
      <c r="O39" s="4">
        <f t="shared" si="2"/>
        <v>728.06999999999971</v>
      </c>
    </row>
    <row r="40" spans="1:19" x14ac:dyDescent="0.25">
      <c r="L40">
        <v>6</v>
      </c>
      <c r="M40">
        <v>4147</v>
      </c>
      <c r="N40" s="4">
        <f t="shared" si="3"/>
        <v>3276.13</v>
      </c>
      <c r="O40" s="4">
        <f t="shared" si="2"/>
        <v>870.86999999999989</v>
      </c>
    </row>
    <row r="41" spans="1:19" x14ac:dyDescent="0.25">
      <c r="L41">
        <v>12</v>
      </c>
      <c r="M41">
        <v>4171</v>
      </c>
      <c r="N41" s="4">
        <f>M41*0.68</f>
        <v>2836.28</v>
      </c>
      <c r="O41" s="4">
        <f t="shared" si="2"/>
        <v>1334.7199999999998</v>
      </c>
    </row>
    <row r="42" spans="1:19" x14ac:dyDescent="0.25">
      <c r="L42">
        <v>12</v>
      </c>
      <c r="M42">
        <v>7572</v>
      </c>
      <c r="N42" s="4">
        <f t="shared" ref="N42:N43" si="4">M42*0.68</f>
        <v>5148.96</v>
      </c>
      <c r="O42" s="4">
        <f t="shared" si="2"/>
        <v>2423.04</v>
      </c>
    </row>
    <row r="43" spans="1:19" x14ac:dyDescent="0.25">
      <c r="L43">
        <v>12</v>
      </c>
      <c r="M43">
        <v>5803</v>
      </c>
      <c r="N43" s="4">
        <f t="shared" si="4"/>
        <v>3946.0400000000004</v>
      </c>
      <c r="O43" s="4">
        <f t="shared" si="2"/>
        <v>1856.9599999999996</v>
      </c>
    </row>
    <row r="44" spans="1:19" x14ac:dyDescent="0.25">
      <c r="L44">
        <v>16</v>
      </c>
      <c r="M44">
        <v>6023</v>
      </c>
      <c r="N44" s="4">
        <f>M44*0.63</f>
        <v>3794.4900000000002</v>
      </c>
      <c r="O44" s="4">
        <f t="shared" si="2"/>
        <v>2228.5099999999998</v>
      </c>
    </row>
    <row r="45" spans="1:19" x14ac:dyDescent="0.25">
      <c r="L45">
        <v>16</v>
      </c>
      <c r="M45">
        <v>5339</v>
      </c>
      <c r="N45" s="4">
        <f t="shared" ref="N45:N46" si="5">M45*0.63</f>
        <v>3363.57</v>
      </c>
      <c r="O45" s="4">
        <f t="shared" si="2"/>
        <v>1975.4299999999998</v>
      </c>
    </row>
    <row r="46" spans="1:19" x14ac:dyDescent="0.25">
      <c r="L46">
        <v>16</v>
      </c>
      <c r="M46">
        <v>3323</v>
      </c>
      <c r="N46" s="4">
        <f t="shared" si="5"/>
        <v>2093.4900000000002</v>
      </c>
      <c r="O46" s="4">
        <f t="shared" si="2"/>
        <v>1229.5099999999998</v>
      </c>
    </row>
    <row r="47" spans="1:19" x14ac:dyDescent="0.25">
      <c r="L47">
        <v>24</v>
      </c>
      <c r="M47">
        <v>8660</v>
      </c>
      <c r="N47" s="4">
        <f>M47*0.5</f>
        <v>4330</v>
      </c>
      <c r="O47" s="4">
        <f t="shared" si="2"/>
        <v>4330</v>
      </c>
    </row>
    <row r="48" spans="1:19" x14ac:dyDescent="0.25">
      <c r="L48">
        <v>24</v>
      </c>
      <c r="M48">
        <v>8385</v>
      </c>
      <c r="N48" s="4">
        <f t="shared" ref="N48:N49" si="6">M48*0.5</f>
        <v>4192.5</v>
      </c>
      <c r="O48" s="4">
        <f t="shared" si="2"/>
        <v>4192.5</v>
      </c>
    </row>
    <row r="49" spans="12:15" x14ac:dyDescent="0.25">
      <c r="L49">
        <v>24</v>
      </c>
      <c r="M49">
        <v>10372</v>
      </c>
      <c r="N49" s="4">
        <f t="shared" si="6"/>
        <v>5186</v>
      </c>
      <c r="O49" s="4">
        <f t="shared" si="2"/>
        <v>5186</v>
      </c>
    </row>
    <row r="50" spans="12:15" x14ac:dyDescent="0.25">
      <c r="L50">
        <v>36</v>
      </c>
      <c r="M50">
        <v>11065</v>
      </c>
      <c r="N50" s="4">
        <f>M50*0.39</f>
        <v>4315.3500000000004</v>
      </c>
      <c r="O50" s="4">
        <f t="shared" si="2"/>
        <v>6749.65</v>
      </c>
    </row>
    <row r="51" spans="12:15" x14ac:dyDescent="0.25">
      <c r="L51">
        <v>36</v>
      </c>
      <c r="M51">
        <v>11737</v>
      </c>
      <c r="N51" s="4">
        <f t="shared" ref="N51:N52" si="7">M51*0.39</f>
        <v>4577.43</v>
      </c>
      <c r="O51" s="4">
        <f t="shared" si="2"/>
        <v>7159.57</v>
      </c>
    </row>
    <row r="52" spans="12:15" x14ac:dyDescent="0.25">
      <c r="L52">
        <v>36</v>
      </c>
      <c r="M52">
        <v>11263</v>
      </c>
      <c r="N52" s="4">
        <f t="shared" si="7"/>
        <v>4392.57</v>
      </c>
      <c r="O52" s="4">
        <f t="shared" si="2"/>
        <v>6870.43</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I46"/>
  <sheetViews>
    <sheetView workbookViewId="0">
      <selection activeCell="I8" sqref="I8"/>
    </sheetView>
  </sheetViews>
  <sheetFormatPr defaultColWidth="11" defaultRowHeight="15.75" x14ac:dyDescent="0.25"/>
  <cols>
    <col min="2" max="2" width="22.5" customWidth="1"/>
    <col min="4" max="4" width="26.625" bestFit="1" customWidth="1"/>
    <col min="5" max="5" width="23" bestFit="1" customWidth="1"/>
    <col min="6" max="6" width="12.375" customWidth="1"/>
  </cols>
  <sheetData>
    <row r="1" spans="1:9" x14ac:dyDescent="0.25">
      <c r="C1" t="s">
        <v>102</v>
      </c>
      <c r="D1">
        <v>20</v>
      </c>
    </row>
    <row r="3" spans="1:9" x14ac:dyDescent="0.25">
      <c r="A3" t="s">
        <v>75</v>
      </c>
      <c r="B3" t="s">
        <v>129</v>
      </c>
      <c r="C3" t="s">
        <v>130</v>
      </c>
      <c r="D3" t="s">
        <v>131</v>
      </c>
      <c r="E3" t="s">
        <v>132</v>
      </c>
      <c r="F3" t="s">
        <v>133</v>
      </c>
      <c r="H3" t="s">
        <v>134</v>
      </c>
    </row>
    <row r="4" spans="1:9" x14ac:dyDescent="0.25">
      <c r="A4" t="s">
        <v>136</v>
      </c>
      <c r="B4">
        <v>1</v>
      </c>
      <c r="C4">
        <f>B4/10</f>
        <v>0.1</v>
      </c>
      <c r="D4" s="4">
        <f>(C4*391*1000)/(2220000*10.9)</f>
        <v>1.6158360195057443E-3</v>
      </c>
      <c r="E4" s="4"/>
    </row>
    <row r="5" spans="1:9" x14ac:dyDescent="0.25">
      <c r="A5" t="s">
        <v>137</v>
      </c>
      <c r="B5">
        <v>52</v>
      </c>
      <c r="C5">
        <f>B5/2000</f>
        <v>2.5999999999999999E-2</v>
      </c>
      <c r="D5" s="22">
        <f>(C5*391)/(2220000*10.9)</f>
        <v>4.201173650714935E-7</v>
      </c>
      <c r="E5" s="23">
        <f>D5*1000*1000</f>
        <v>0.4201173650714935</v>
      </c>
    </row>
    <row r="6" spans="1:9" x14ac:dyDescent="0.25">
      <c r="A6" t="s">
        <v>138</v>
      </c>
      <c r="B6">
        <v>50</v>
      </c>
      <c r="C6">
        <f t="shared" ref="C6:C31" si="0">B6/2000</f>
        <v>2.5000000000000001E-2</v>
      </c>
      <c r="D6" s="2">
        <f t="shared" ref="D6:D31" si="1">(C6*391*1000)/(2220000*10.9)</f>
        <v>4.0395900487643607E-4</v>
      </c>
      <c r="E6" s="4">
        <f t="shared" ref="E6:E31" si="2">D6*1000*1000</f>
        <v>403.9590048764361</v>
      </c>
    </row>
    <row r="7" spans="1:9" x14ac:dyDescent="0.25">
      <c r="A7" t="s">
        <v>139</v>
      </c>
      <c r="B7">
        <v>46</v>
      </c>
      <c r="C7">
        <f t="shared" si="0"/>
        <v>2.3E-2</v>
      </c>
      <c r="D7" s="2">
        <f t="shared" si="1"/>
        <v>3.7164228448632121E-4</v>
      </c>
      <c r="E7" s="4">
        <f t="shared" si="2"/>
        <v>371.64228448632122</v>
      </c>
    </row>
    <row r="8" spans="1:9" x14ac:dyDescent="0.25">
      <c r="A8" t="s">
        <v>181</v>
      </c>
      <c r="B8">
        <v>55</v>
      </c>
      <c r="C8">
        <f t="shared" si="0"/>
        <v>2.75E-2</v>
      </c>
      <c r="D8" s="2">
        <f>(C8*391*1000)/(2220000*10.9)</f>
        <v>4.4435490536407965E-4</v>
      </c>
      <c r="E8" s="4">
        <f t="shared" si="2"/>
        <v>444.35490536407968</v>
      </c>
    </row>
    <row r="9" spans="1:9" x14ac:dyDescent="0.25">
      <c r="A9" t="s">
        <v>140</v>
      </c>
      <c r="B9">
        <v>56</v>
      </c>
      <c r="C9">
        <f t="shared" si="0"/>
        <v>2.8000000000000001E-2</v>
      </c>
      <c r="D9" s="2">
        <f t="shared" si="1"/>
        <v>4.5243408546160842E-4</v>
      </c>
      <c r="E9" s="4">
        <f t="shared" si="2"/>
        <v>452.43408546160839</v>
      </c>
    </row>
    <row r="10" spans="1:9" x14ac:dyDescent="0.25">
      <c r="A10" t="s">
        <v>141</v>
      </c>
      <c r="B10">
        <v>46</v>
      </c>
      <c r="C10">
        <f t="shared" si="0"/>
        <v>2.3E-2</v>
      </c>
      <c r="D10" s="2">
        <f t="shared" si="1"/>
        <v>3.7164228448632121E-4</v>
      </c>
      <c r="E10" s="4">
        <f t="shared" si="2"/>
        <v>371.64228448632122</v>
      </c>
    </row>
    <row r="11" spans="1:9" x14ac:dyDescent="0.25">
      <c r="A11" t="s">
        <v>143</v>
      </c>
      <c r="B11">
        <v>49</v>
      </c>
      <c r="C11">
        <f t="shared" si="0"/>
        <v>2.4500000000000001E-2</v>
      </c>
      <c r="D11" s="2">
        <f t="shared" si="1"/>
        <v>3.9587982477890741E-4</v>
      </c>
      <c r="E11" s="4">
        <f t="shared" si="2"/>
        <v>395.87982477890745</v>
      </c>
      <c r="F11" s="4">
        <f>AVERAGE(E11:E13)</f>
        <v>452.43408546160845</v>
      </c>
      <c r="G11" s="20">
        <f>STDEV(E11:E13)/F11</f>
        <v>0.20123977981401078</v>
      </c>
      <c r="H11" s="13">
        <f>E11/1000</f>
        <v>0.39587982477890743</v>
      </c>
      <c r="I11">
        <v>3</v>
      </c>
    </row>
    <row r="12" spans="1:9" x14ac:dyDescent="0.25">
      <c r="A12" t="s">
        <v>144</v>
      </c>
      <c r="B12">
        <v>50</v>
      </c>
      <c r="C12">
        <f t="shared" si="0"/>
        <v>2.5000000000000001E-2</v>
      </c>
      <c r="D12" s="2">
        <f t="shared" si="1"/>
        <v>4.0395900487643607E-4</v>
      </c>
      <c r="E12" s="4">
        <f t="shared" si="2"/>
        <v>403.9590048764361</v>
      </c>
      <c r="H12" s="13">
        <f t="shared" ref="H12:H28" si="3">E12/1000</f>
        <v>0.4039590048764361</v>
      </c>
      <c r="I12">
        <v>3</v>
      </c>
    </row>
    <row r="13" spans="1:9" x14ac:dyDescent="0.25">
      <c r="A13" t="s">
        <v>145</v>
      </c>
      <c r="B13">
        <v>69</v>
      </c>
      <c r="C13">
        <f t="shared" si="0"/>
        <v>3.4500000000000003E-2</v>
      </c>
      <c r="D13" s="2">
        <f t="shared" si="1"/>
        <v>5.5746342672948184E-4</v>
      </c>
      <c r="E13" s="4">
        <f t="shared" si="2"/>
        <v>557.46342672948174</v>
      </c>
      <c r="H13" s="13">
        <f t="shared" si="3"/>
        <v>0.55746342672948179</v>
      </c>
      <c r="I13">
        <v>3</v>
      </c>
    </row>
    <row r="14" spans="1:9" x14ac:dyDescent="0.25">
      <c r="A14" t="s">
        <v>146</v>
      </c>
      <c r="B14">
        <v>42</v>
      </c>
      <c r="C14">
        <f t="shared" si="0"/>
        <v>2.1000000000000001E-2</v>
      </c>
      <c r="D14" s="2">
        <f t="shared" si="1"/>
        <v>3.3932556409620629E-4</v>
      </c>
      <c r="E14" s="4">
        <f>D14*1000*1000</f>
        <v>339.32556409620628</v>
      </c>
      <c r="F14" s="4">
        <f>AVERAGE(E14:E16)</f>
        <v>342.01862412871589</v>
      </c>
      <c r="G14" s="20">
        <f>STDEV(E14:E16)/F14</f>
        <v>1.3638195335188081E-2</v>
      </c>
      <c r="H14" s="13">
        <f t="shared" si="3"/>
        <v>0.33932556409620629</v>
      </c>
      <c r="I14">
        <v>6</v>
      </c>
    </row>
    <row r="15" spans="1:9" x14ac:dyDescent="0.25">
      <c r="A15" t="s">
        <v>147</v>
      </c>
      <c r="B15">
        <v>43</v>
      </c>
      <c r="C15">
        <f t="shared" si="0"/>
        <v>2.1499999999999998E-2</v>
      </c>
      <c r="D15" s="2">
        <f t="shared" si="1"/>
        <v>3.4740474419373501E-4</v>
      </c>
      <c r="E15" s="4">
        <f t="shared" si="2"/>
        <v>347.40474419373504</v>
      </c>
      <c r="H15" s="13">
        <f t="shared" si="3"/>
        <v>0.34740474419373502</v>
      </c>
      <c r="I15">
        <v>6</v>
      </c>
    </row>
    <row r="16" spans="1:9" x14ac:dyDescent="0.25">
      <c r="A16" t="s">
        <v>148</v>
      </c>
      <c r="B16">
        <v>42</v>
      </c>
      <c r="C16">
        <f t="shared" si="0"/>
        <v>2.1000000000000001E-2</v>
      </c>
      <c r="D16" s="2">
        <f t="shared" si="1"/>
        <v>3.3932556409620629E-4</v>
      </c>
      <c r="E16" s="4">
        <f t="shared" si="2"/>
        <v>339.32556409620628</v>
      </c>
      <c r="H16" s="13">
        <f t="shared" si="3"/>
        <v>0.33932556409620629</v>
      </c>
      <c r="I16">
        <v>6</v>
      </c>
    </row>
    <row r="17" spans="1:9" x14ac:dyDescent="0.25">
      <c r="A17" t="s">
        <v>149</v>
      </c>
      <c r="B17">
        <v>36</v>
      </c>
      <c r="C17">
        <f t="shared" si="0"/>
        <v>1.7999999999999999E-2</v>
      </c>
      <c r="D17" s="2">
        <f t="shared" si="1"/>
        <v>2.9085048351103394E-4</v>
      </c>
      <c r="E17" s="4">
        <f t="shared" si="2"/>
        <v>290.85048351103393</v>
      </c>
      <c r="F17" s="4">
        <f>AVERAGE(E17:E19)</f>
        <v>293.54354354354354</v>
      </c>
      <c r="G17" s="20">
        <f>STDEV(E17:E19)/F17</f>
        <v>6.9264536103401456E-2</v>
      </c>
      <c r="H17" s="13">
        <f t="shared" si="3"/>
        <v>0.29085048351103393</v>
      </c>
      <c r="I17">
        <v>12</v>
      </c>
    </row>
    <row r="18" spans="1:9" x14ac:dyDescent="0.25">
      <c r="A18" t="s">
        <v>150</v>
      </c>
      <c r="B18">
        <v>39</v>
      </c>
      <c r="C18">
        <f t="shared" si="0"/>
        <v>1.95E-2</v>
      </c>
      <c r="D18" s="2">
        <f t="shared" si="1"/>
        <v>3.1508802380362014E-4</v>
      </c>
      <c r="E18" s="4">
        <f t="shared" si="2"/>
        <v>315.08802380362016</v>
      </c>
      <c r="H18" s="13">
        <f t="shared" si="3"/>
        <v>0.31508802380362017</v>
      </c>
      <c r="I18">
        <v>12</v>
      </c>
    </row>
    <row r="19" spans="1:9" x14ac:dyDescent="0.25">
      <c r="A19" t="s">
        <v>151</v>
      </c>
      <c r="B19">
        <v>34</v>
      </c>
      <c r="C19">
        <f t="shared" si="0"/>
        <v>1.7000000000000001E-2</v>
      </c>
      <c r="D19" s="2">
        <f t="shared" si="1"/>
        <v>2.7469212331597651E-4</v>
      </c>
      <c r="E19" s="4">
        <f t="shared" si="2"/>
        <v>274.69212331597652</v>
      </c>
      <c r="H19" s="13">
        <f t="shared" si="3"/>
        <v>0.27469212331597653</v>
      </c>
      <c r="I19">
        <v>12</v>
      </c>
    </row>
    <row r="20" spans="1:9" x14ac:dyDescent="0.25">
      <c r="A20" t="s">
        <v>182</v>
      </c>
      <c r="B20">
        <v>43</v>
      </c>
      <c r="C20">
        <f t="shared" si="0"/>
        <v>2.1499999999999998E-2</v>
      </c>
      <c r="D20" s="2">
        <f t="shared" si="1"/>
        <v>3.4740474419373501E-4</v>
      </c>
      <c r="E20" s="4">
        <f t="shared" si="2"/>
        <v>347.40474419373504</v>
      </c>
      <c r="F20" s="4">
        <f>AVERAGE(E20:E22)</f>
        <v>317.78108383612971</v>
      </c>
      <c r="G20" s="20">
        <f>STDEV(E20:E22)/F20</f>
        <v>8.1725853906720061E-2</v>
      </c>
      <c r="H20" s="13">
        <f t="shared" si="3"/>
        <v>0.34740474419373502</v>
      </c>
      <c r="I20">
        <v>16</v>
      </c>
    </row>
    <row r="21" spans="1:9" x14ac:dyDescent="0.25">
      <c r="A21" t="s">
        <v>183</v>
      </c>
      <c r="B21">
        <v>38</v>
      </c>
      <c r="C21">
        <f t="shared" si="0"/>
        <v>1.9E-2</v>
      </c>
      <c r="D21" s="2">
        <f t="shared" si="1"/>
        <v>3.0700884370609137E-4</v>
      </c>
      <c r="E21" s="4">
        <f t="shared" si="2"/>
        <v>307.0088437060914</v>
      </c>
      <c r="H21" s="13">
        <f t="shared" si="3"/>
        <v>0.30700884370609138</v>
      </c>
      <c r="I21">
        <v>16</v>
      </c>
    </row>
    <row r="22" spans="1:9" x14ac:dyDescent="0.25">
      <c r="A22" t="s">
        <v>184</v>
      </c>
      <c r="B22">
        <v>37</v>
      </c>
      <c r="C22">
        <f t="shared" si="0"/>
        <v>1.8499999999999999E-2</v>
      </c>
      <c r="D22" s="2">
        <f t="shared" si="1"/>
        <v>2.9892966360856266E-4</v>
      </c>
      <c r="E22" s="4">
        <f t="shared" si="2"/>
        <v>298.92966360856263</v>
      </c>
      <c r="H22" s="13">
        <f t="shared" si="3"/>
        <v>0.29892966360856266</v>
      </c>
      <c r="I22">
        <v>16</v>
      </c>
    </row>
    <row r="23" spans="1:9" x14ac:dyDescent="0.25">
      <c r="A23" t="s">
        <v>152</v>
      </c>
      <c r="B23">
        <v>47</v>
      </c>
      <c r="C23">
        <f t="shared" si="0"/>
        <v>2.35E-2</v>
      </c>
      <c r="D23" s="2">
        <f t="shared" si="1"/>
        <v>3.7972146458384993E-4</v>
      </c>
      <c r="E23" s="4">
        <f t="shared" si="2"/>
        <v>379.72146458384992</v>
      </c>
      <c r="F23" s="4">
        <f>AVERAGE(E23:E25)</f>
        <v>336.63250406369673</v>
      </c>
      <c r="G23" s="20">
        <f>STDEV(E23:E25)/F23</f>
        <v>0.11341957503006268</v>
      </c>
      <c r="H23" s="13">
        <f t="shared" si="3"/>
        <v>0.37972146458384992</v>
      </c>
      <c r="I23">
        <v>24</v>
      </c>
    </row>
    <row r="24" spans="1:9" x14ac:dyDescent="0.25">
      <c r="A24" t="s">
        <v>153</v>
      </c>
      <c r="B24">
        <v>38</v>
      </c>
      <c r="C24">
        <f t="shared" si="0"/>
        <v>1.9E-2</v>
      </c>
      <c r="D24" s="2">
        <f t="shared" si="1"/>
        <v>3.0700884370609137E-4</v>
      </c>
      <c r="E24" s="4">
        <f t="shared" si="2"/>
        <v>307.0088437060914</v>
      </c>
      <c r="H24" s="13">
        <f t="shared" si="3"/>
        <v>0.30700884370609138</v>
      </c>
      <c r="I24">
        <v>24</v>
      </c>
    </row>
    <row r="25" spans="1:9" x14ac:dyDescent="0.25">
      <c r="A25" t="s">
        <v>154</v>
      </c>
      <c r="B25">
        <v>40</v>
      </c>
      <c r="C25">
        <f t="shared" si="0"/>
        <v>0.02</v>
      </c>
      <c r="D25" s="2">
        <f t="shared" si="1"/>
        <v>3.2316720390114886E-4</v>
      </c>
      <c r="E25" s="4">
        <f t="shared" si="2"/>
        <v>323.16720390114881</v>
      </c>
      <c r="H25" s="13">
        <f t="shared" si="3"/>
        <v>0.32316720390114884</v>
      </c>
      <c r="I25">
        <v>24</v>
      </c>
    </row>
    <row r="26" spans="1:9" x14ac:dyDescent="0.25">
      <c r="A26" t="s">
        <v>155</v>
      </c>
      <c r="B26">
        <v>51</v>
      </c>
      <c r="C26">
        <f t="shared" si="0"/>
        <v>2.5499999999999998E-2</v>
      </c>
      <c r="D26" s="2">
        <f t="shared" si="1"/>
        <v>4.1203818497396479E-4</v>
      </c>
      <c r="E26" s="4">
        <f t="shared" si="2"/>
        <v>412.03818497396475</v>
      </c>
      <c r="F26" s="4">
        <f>AVERAGE(E26:E28)</f>
        <v>336.63250406369667</v>
      </c>
      <c r="G26" s="20">
        <f>STDEV(E26:E28)/F26</f>
        <v>0.19398969044771411</v>
      </c>
      <c r="H26" s="13">
        <f t="shared" si="3"/>
        <v>0.41203818497396477</v>
      </c>
      <c r="I26">
        <v>36</v>
      </c>
    </row>
    <row r="27" spans="1:9" x14ac:dyDescent="0.25">
      <c r="A27" t="s">
        <v>156</v>
      </c>
      <c r="B27">
        <v>37</v>
      </c>
      <c r="C27">
        <f t="shared" si="0"/>
        <v>1.8499999999999999E-2</v>
      </c>
      <c r="D27" s="2">
        <f t="shared" si="1"/>
        <v>2.9892966360856266E-4</v>
      </c>
      <c r="E27" s="4">
        <f t="shared" si="2"/>
        <v>298.92966360856263</v>
      </c>
      <c r="H27" s="13">
        <f t="shared" si="3"/>
        <v>0.29892966360856266</v>
      </c>
      <c r="I27">
        <v>36</v>
      </c>
    </row>
    <row r="28" spans="1:9" x14ac:dyDescent="0.25">
      <c r="A28" t="s">
        <v>157</v>
      </c>
      <c r="B28">
        <v>37</v>
      </c>
      <c r="C28">
        <f t="shared" si="0"/>
        <v>1.8499999999999999E-2</v>
      </c>
      <c r="D28" s="2">
        <f t="shared" si="1"/>
        <v>2.9892966360856266E-4</v>
      </c>
      <c r="E28" s="4">
        <f t="shared" si="2"/>
        <v>298.92966360856263</v>
      </c>
      <c r="H28" s="13">
        <f t="shared" si="3"/>
        <v>0.29892966360856266</v>
      </c>
      <c r="I28">
        <v>36</v>
      </c>
    </row>
    <row r="29" spans="1:9" x14ac:dyDescent="0.25">
      <c r="A29" t="s">
        <v>99</v>
      </c>
      <c r="B29">
        <v>0</v>
      </c>
      <c r="C29">
        <f t="shared" si="0"/>
        <v>0</v>
      </c>
      <c r="D29" s="2">
        <f t="shared" si="1"/>
        <v>0</v>
      </c>
      <c r="E29" s="4">
        <f t="shared" si="2"/>
        <v>0</v>
      </c>
      <c r="F29" s="4">
        <f>AVERAGE(E29:E31)</f>
        <v>10.772240130038297</v>
      </c>
    </row>
    <row r="30" spans="1:9" x14ac:dyDescent="0.25">
      <c r="A30" t="s">
        <v>100</v>
      </c>
      <c r="B30">
        <v>2</v>
      </c>
      <c r="C30">
        <f t="shared" si="0"/>
        <v>1E-3</v>
      </c>
      <c r="D30" s="2">
        <f t="shared" si="1"/>
        <v>1.6158360195057442E-5</v>
      </c>
      <c r="E30" s="4">
        <f t="shared" si="2"/>
        <v>16.158360195057444</v>
      </c>
    </row>
    <row r="31" spans="1:9" x14ac:dyDescent="0.25">
      <c r="A31" t="s">
        <v>101</v>
      </c>
      <c r="B31">
        <v>2</v>
      </c>
      <c r="C31">
        <f t="shared" si="0"/>
        <v>1E-3</v>
      </c>
      <c r="D31" s="2">
        <f t="shared" si="1"/>
        <v>1.6158360195057442E-5</v>
      </c>
      <c r="E31" s="4">
        <f t="shared" si="2"/>
        <v>16.158360195057444</v>
      </c>
    </row>
    <row r="32" spans="1:9" x14ac:dyDescent="0.25">
      <c r="D32" s="2"/>
      <c r="E32" s="4"/>
    </row>
    <row r="33" spans="1:5" x14ac:dyDescent="0.25">
      <c r="D33" s="2"/>
      <c r="E33" s="4"/>
    </row>
    <row r="34" spans="1:5" x14ac:dyDescent="0.25">
      <c r="A34" s="14" t="s">
        <v>164</v>
      </c>
      <c r="B34" s="14">
        <f t="array" ref="B34:C38">LINEST(E11:E28,I11:I28,TRUE,TRUE)</f>
        <v>-1.8653022081392852</v>
      </c>
      <c r="C34" s="15">
        <v>376.66277654781703</v>
      </c>
      <c r="D34" s="16" t="s">
        <v>165</v>
      </c>
      <c r="E34" s="17"/>
    </row>
    <row r="35" spans="1:5" x14ac:dyDescent="0.25">
      <c r="A35" s="14" t="s">
        <v>166</v>
      </c>
      <c r="B35" s="14">
        <v>1.3716398400642769</v>
      </c>
      <c r="C35" s="15">
        <v>26.954264308339827</v>
      </c>
      <c r="D35" s="16" t="s">
        <v>166</v>
      </c>
      <c r="E35" s="17"/>
    </row>
    <row r="36" spans="1:5" x14ac:dyDescent="0.25">
      <c r="A36" s="14" t="s">
        <v>167</v>
      </c>
      <c r="B36" s="14">
        <v>0.10360862565892798</v>
      </c>
      <c r="C36" s="15">
        <v>65.011966428789222</v>
      </c>
      <c r="D36" s="16" t="s">
        <v>168</v>
      </c>
      <c r="E36" s="17"/>
    </row>
    <row r="37" spans="1:5" x14ac:dyDescent="0.25">
      <c r="A37" s="14" t="s">
        <v>169</v>
      </c>
      <c r="B37" s="14">
        <v>1.8493462320087961</v>
      </c>
      <c r="C37" s="15">
        <v>16</v>
      </c>
      <c r="D37" s="16" t="s">
        <v>170</v>
      </c>
      <c r="E37" s="17"/>
    </row>
    <row r="38" spans="1:5" x14ac:dyDescent="0.25">
      <c r="A38" s="14" t="s">
        <v>171</v>
      </c>
      <c r="B38" s="14">
        <v>7816.3650041540241</v>
      </c>
      <c r="C38" s="15">
        <v>67624.892463008277</v>
      </c>
      <c r="D38" s="16" t="s">
        <v>172</v>
      </c>
      <c r="E38" s="17"/>
    </row>
    <row r="39" spans="1:5" x14ac:dyDescent="0.25">
      <c r="D39" s="2"/>
      <c r="E39" s="4"/>
    </row>
    <row r="40" spans="1:5" x14ac:dyDescent="0.25">
      <c r="D40" s="2"/>
      <c r="E40" s="4"/>
    </row>
    <row r="41" spans="1:5" x14ac:dyDescent="0.25">
      <c r="A41" s="14" t="s">
        <v>173</v>
      </c>
      <c r="B41" s="14">
        <f>B34/B35</f>
        <v>-1.359906699744063</v>
      </c>
      <c r="D41" s="2"/>
      <c r="E41" s="4"/>
    </row>
    <row r="42" spans="1:5" x14ac:dyDescent="0.25">
      <c r="A42" s="14" t="s">
        <v>174</v>
      </c>
      <c r="B42" s="14">
        <f>TDIST(ABS(B41),C37,2)</f>
        <v>0.19271501838968688</v>
      </c>
      <c r="C42" t="s">
        <v>175</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CC"/>
  </sheetPr>
  <dimension ref="A1:F24"/>
  <sheetViews>
    <sheetView workbookViewId="0">
      <selection activeCell="J8" sqref="J8"/>
    </sheetView>
  </sheetViews>
  <sheetFormatPr defaultColWidth="11" defaultRowHeight="15.75" x14ac:dyDescent="0.25"/>
  <cols>
    <col min="2" max="2" width="16.125" customWidth="1"/>
    <col min="3" max="3" width="21.125" customWidth="1"/>
    <col min="4" max="4" width="17.875" customWidth="1"/>
    <col min="6" max="6" width="21.5" customWidth="1"/>
  </cols>
  <sheetData>
    <row r="1" spans="1:6" x14ac:dyDescent="0.25">
      <c r="A1" s="24" t="s">
        <v>197</v>
      </c>
      <c r="B1" s="24"/>
      <c r="C1" s="25"/>
      <c r="D1" s="25"/>
      <c r="E1" s="25"/>
      <c r="F1" s="25"/>
    </row>
    <row r="2" spans="1:6" x14ac:dyDescent="0.25">
      <c r="A2" s="25"/>
      <c r="B2" s="25"/>
      <c r="C2" s="25"/>
      <c r="D2" s="25"/>
      <c r="E2" s="25"/>
      <c r="F2" s="25"/>
    </row>
    <row r="3" spans="1:6" x14ac:dyDescent="0.25">
      <c r="A3" s="25" t="s">
        <v>75</v>
      </c>
      <c r="B3" s="25" t="s">
        <v>76</v>
      </c>
      <c r="C3" s="25" t="s">
        <v>77</v>
      </c>
      <c r="D3" s="25" t="s">
        <v>78</v>
      </c>
      <c r="E3" s="25" t="s">
        <v>79</v>
      </c>
      <c r="F3" s="25" t="s">
        <v>80</v>
      </c>
    </row>
    <row r="4" spans="1:6" x14ac:dyDescent="0.25">
      <c r="A4" s="25" t="s">
        <v>81</v>
      </c>
      <c r="B4" s="25">
        <v>5.8770000000000003E-2</v>
      </c>
      <c r="C4" s="25">
        <v>6.0049999999999999E-2</v>
      </c>
      <c r="D4" s="25">
        <f>C4-B4</f>
        <v>1.2799999999999964E-3</v>
      </c>
      <c r="E4" s="25">
        <v>18</v>
      </c>
      <c r="F4" s="26">
        <f>D4/E4</f>
        <v>7.1111111111110917E-5</v>
      </c>
    </row>
    <row r="5" spans="1:6" x14ac:dyDescent="0.25">
      <c r="A5" s="25" t="s">
        <v>82</v>
      </c>
      <c r="B5" s="25">
        <v>5.6149999999999999E-2</v>
      </c>
      <c r="C5" s="25">
        <v>5.731E-2</v>
      </c>
      <c r="D5" s="25">
        <f t="shared" ref="D5:D24" si="0">C5-B5</f>
        <v>1.1600000000000013E-3</v>
      </c>
      <c r="E5" s="25">
        <v>15</v>
      </c>
      <c r="F5" s="26">
        <f>D5/E5</f>
        <v>7.7333333333333415E-5</v>
      </c>
    </row>
    <row r="6" spans="1:6" x14ac:dyDescent="0.25">
      <c r="A6" s="25" t="s">
        <v>83</v>
      </c>
      <c r="B6" s="25">
        <v>5.6779999999999997E-2</v>
      </c>
      <c r="C6" s="25">
        <v>5.7829999999999999E-2</v>
      </c>
      <c r="D6" s="25">
        <f t="shared" si="0"/>
        <v>1.0500000000000023E-3</v>
      </c>
      <c r="E6" s="25">
        <v>14</v>
      </c>
      <c r="F6" s="26">
        <f t="shared" ref="F6:F24" si="1">D6/E6</f>
        <v>7.500000000000017E-5</v>
      </c>
    </row>
    <row r="7" spans="1:6" x14ac:dyDescent="0.25">
      <c r="A7" s="25" t="s">
        <v>84</v>
      </c>
      <c r="B7" s="25">
        <v>5.1619999999999999E-2</v>
      </c>
      <c r="C7" s="25">
        <v>5.2549999999999999E-2</v>
      </c>
      <c r="D7" s="25">
        <f t="shared" si="0"/>
        <v>9.3000000000000027E-4</v>
      </c>
      <c r="E7" s="25">
        <v>15</v>
      </c>
      <c r="F7" s="26">
        <f t="shared" si="1"/>
        <v>6.2000000000000016E-5</v>
      </c>
    </row>
    <row r="8" spans="1:6" x14ac:dyDescent="0.25">
      <c r="A8" s="25" t="s">
        <v>85</v>
      </c>
      <c r="B8" s="25">
        <v>5.697E-2</v>
      </c>
      <c r="C8" s="25">
        <v>5.7910000000000003E-2</v>
      </c>
      <c r="D8" s="25">
        <f t="shared" si="0"/>
        <v>9.4000000000000333E-4</v>
      </c>
      <c r="E8" s="25">
        <v>14</v>
      </c>
      <c r="F8" s="26">
        <f t="shared" si="1"/>
        <v>6.7142857142857385E-5</v>
      </c>
    </row>
    <row r="9" spans="1:6" x14ac:dyDescent="0.25">
      <c r="A9" s="25" t="s">
        <v>86</v>
      </c>
      <c r="B9" s="25">
        <v>4.9660000000000003E-2</v>
      </c>
      <c r="C9" s="25">
        <v>5.076E-2</v>
      </c>
      <c r="D9" s="25">
        <f t="shared" si="0"/>
        <v>1.0999999999999968E-3</v>
      </c>
      <c r="E9" s="25">
        <v>14</v>
      </c>
      <c r="F9" s="26">
        <f t="shared" si="1"/>
        <v>7.857142857142835E-5</v>
      </c>
    </row>
    <row r="10" spans="1:6" x14ac:dyDescent="0.25">
      <c r="A10" s="25" t="s">
        <v>87</v>
      </c>
      <c r="B10" s="25">
        <v>6.5759999999999999E-2</v>
      </c>
      <c r="C10" s="25">
        <v>6.7080000000000001E-2</v>
      </c>
      <c r="D10" s="25">
        <f t="shared" si="0"/>
        <v>1.3200000000000017E-3</v>
      </c>
      <c r="E10" s="25">
        <v>15</v>
      </c>
      <c r="F10" s="26">
        <f t="shared" si="1"/>
        <v>8.800000000000012E-5</v>
      </c>
    </row>
    <row r="11" spans="1:6" x14ac:dyDescent="0.25">
      <c r="A11" s="25" t="s">
        <v>88</v>
      </c>
      <c r="B11" s="25">
        <v>5.1339999999999997E-2</v>
      </c>
      <c r="C11" s="25">
        <v>5.237E-2</v>
      </c>
      <c r="D11" s="25">
        <f t="shared" si="0"/>
        <v>1.0300000000000031E-3</v>
      </c>
      <c r="E11" s="25">
        <v>13</v>
      </c>
      <c r="F11" s="26">
        <f t="shared" si="1"/>
        <v>7.9230769230769467E-5</v>
      </c>
    </row>
    <row r="12" spans="1:6" x14ac:dyDescent="0.25">
      <c r="A12" s="25" t="s">
        <v>89</v>
      </c>
      <c r="B12" s="25">
        <v>6.1679999999999999E-2</v>
      </c>
      <c r="C12" s="25">
        <v>6.2969999999999998E-2</v>
      </c>
      <c r="D12" s="25">
        <f t="shared" si="0"/>
        <v>1.2899999999999995E-3</v>
      </c>
      <c r="E12" s="25">
        <v>16</v>
      </c>
      <c r="F12" s="26">
        <f t="shared" si="1"/>
        <v>8.0624999999999968E-5</v>
      </c>
    </row>
    <row r="13" spans="1:6" x14ac:dyDescent="0.25">
      <c r="A13" s="25" t="s">
        <v>177</v>
      </c>
      <c r="B13" s="25">
        <v>6.0479999999999999E-2</v>
      </c>
      <c r="C13" s="25">
        <v>6.164E-2</v>
      </c>
      <c r="D13" s="25">
        <f t="shared" si="0"/>
        <v>1.1600000000000013E-3</v>
      </c>
      <c r="E13" s="25">
        <v>14</v>
      </c>
      <c r="F13" s="26">
        <f t="shared" si="1"/>
        <v>8.2857142857142954E-5</v>
      </c>
    </row>
    <row r="14" spans="1:6" x14ac:dyDescent="0.25">
      <c r="A14" s="25" t="s">
        <v>178</v>
      </c>
      <c r="B14" s="25">
        <v>5.8169999999999999E-2</v>
      </c>
      <c r="C14" s="25">
        <v>5.9490000000000001E-2</v>
      </c>
      <c r="D14" s="25">
        <f t="shared" si="0"/>
        <v>1.3200000000000017E-3</v>
      </c>
      <c r="E14" s="25">
        <v>15</v>
      </c>
      <c r="F14" s="26">
        <f t="shared" si="1"/>
        <v>8.800000000000012E-5</v>
      </c>
    </row>
    <row r="15" spans="1:6" x14ac:dyDescent="0.25">
      <c r="A15" s="25" t="s">
        <v>179</v>
      </c>
      <c r="B15" s="25">
        <v>5.8540000000000002E-2</v>
      </c>
      <c r="C15" s="25">
        <v>5.9650000000000002E-2</v>
      </c>
      <c r="D15" s="25">
        <f t="shared" si="0"/>
        <v>1.1099999999999999E-3</v>
      </c>
      <c r="E15" s="25">
        <v>16</v>
      </c>
      <c r="F15" s="26">
        <f t="shared" si="1"/>
        <v>6.9374999999999992E-5</v>
      </c>
    </row>
    <row r="16" spans="1:6" x14ac:dyDescent="0.25">
      <c r="A16" s="25" t="s">
        <v>90</v>
      </c>
      <c r="B16" s="25">
        <v>5.4579999999999997E-2</v>
      </c>
      <c r="C16" s="25">
        <v>5.611E-2</v>
      </c>
      <c r="D16" s="25">
        <f t="shared" si="0"/>
        <v>1.5300000000000036E-3</v>
      </c>
      <c r="E16" s="25">
        <v>16</v>
      </c>
      <c r="F16" s="26">
        <f t="shared" si="1"/>
        <v>9.5625000000000224E-5</v>
      </c>
    </row>
    <row r="17" spans="1:6" x14ac:dyDescent="0.25">
      <c r="A17" s="25" t="s">
        <v>91</v>
      </c>
      <c r="B17" s="25">
        <v>4.5999999999999999E-2</v>
      </c>
      <c r="C17" s="25">
        <v>4.7309999999999998E-2</v>
      </c>
      <c r="D17" s="25">
        <f t="shared" si="0"/>
        <v>1.3099999999999987E-3</v>
      </c>
      <c r="E17" s="25">
        <v>16</v>
      </c>
      <c r="F17" s="26">
        <f t="shared" si="1"/>
        <v>8.1874999999999917E-5</v>
      </c>
    </row>
    <row r="18" spans="1:6" x14ac:dyDescent="0.25">
      <c r="A18" s="25" t="s">
        <v>92</v>
      </c>
      <c r="B18" s="25">
        <v>5.7880000000000001E-2</v>
      </c>
      <c r="C18" s="25">
        <v>5.885E-2</v>
      </c>
      <c r="D18" s="25">
        <f t="shared" si="0"/>
        <v>9.6999999999999864E-4</v>
      </c>
      <c r="E18" s="25">
        <v>15</v>
      </c>
      <c r="F18" s="26">
        <f t="shared" si="1"/>
        <v>6.4666666666666581E-5</v>
      </c>
    </row>
    <row r="19" spans="1:6" x14ac:dyDescent="0.25">
      <c r="A19" s="25" t="s">
        <v>93</v>
      </c>
      <c r="B19" s="25">
        <v>6.2399999999999997E-2</v>
      </c>
      <c r="C19" s="25">
        <v>6.3549999999999995E-2</v>
      </c>
      <c r="D19" s="25">
        <f t="shared" si="0"/>
        <v>1.1499999999999982E-3</v>
      </c>
      <c r="E19" s="25">
        <v>14</v>
      </c>
      <c r="F19" s="26">
        <f t="shared" si="1"/>
        <v>8.2142857142857018E-5</v>
      </c>
    </row>
    <row r="20" spans="1:6" x14ac:dyDescent="0.25">
      <c r="A20" s="25" t="s">
        <v>94</v>
      </c>
      <c r="B20" s="25">
        <v>5.679E-2</v>
      </c>
      <c r="C20" s="25">
        <v>5.7799999999999997E-2</v>
      </c>
      <c r="D20" s="25">
        <f t="shared" si="0"/>
        <v>1.009999999999997E-3</v>
      </c>
      <c r="E20" s="25">
        <v>14</v>
      </c>
      <c r="F20" s="26">
        <f t="shared" si="1"/>
        <v>7.2142857142856924E-5</v>
      </c>
    </row>
    <row r="21" spans="1:6" x14ac:dyDescent="0.25">
      <c r="A21" s="25" t="s">
        <v>95</v>
      </c>
      <c r="B21" s="25">
        <v>5.9060000000000001E-2</v>
      </c>
      <c r="C21" s="25">
        <v>6.012E-2</v>
      </c>
      <c r="D21" s="25">
        <f t="shared" si="0"/>
        <v>1.0599999999999984E-3</v>
      </c>
      <c r="E21" s="25">
        <v>16</v>
      </c>
      <c r="F21" s="26">
        <f t="shared" si="1"/>
        <v>6.6249999999999903E-5</v>
      </c>
    </row>
    <row r="22" spans="1:6" x14ac:dyDescent="0.25">
      <c r="A22" s="25" t="s">
        <v>99</v>
      </c>
      <c r="B22" s="25">
        <v>5.9610000000000003E-2</v>
      </c>
      <c r="C22" s="25">
        <v>6.0830000000000002E-2</v>
      </c>
      <c r="D22" s="25">
        <f t="shared" si="0"/>
        <v>1.2199999999999989E-3</v>
      </c>
      <c r="E22" s="25">
        <v>14</v>
      </c>
      <c r="F22" s="26">
        <f t="shared" si="1"/>
        <v>8.7142857142857058E-5</v>
      </c>
    </row>
    <row r="23" spans="1:6" x14ac:dyDescent="0.25">
      <c r="A23" s="25" t="s">
        <v>100</v>
      </c>
      <c r="B23" s="25">
        <v>6.6570000000000004E-2</v>
      </c>
      <c r="C23" s="25">
        <v>6.7589999999999997E-2</v>
      </c>
      <c r="D23" s="25">
        <f t="shared" si="0"/>
        <v>1.0199999999999931E-3</v>
      </c>
      <c r="E23" s="25">
        <v>15</v>
      </c>
      <c r="F23" s="26">
        <f t="shared" si="1"/>
        <v>6.7999999999999539E-5</v>
      </c>
    </row>
    <row r="24" spans="1:6" x14ac:dyDescent="0.25">
      <c r="A24" s="25" t="s">
        <v>101</v>
      </c>
      <c r="B24" s="25">
        <v>4.9439999999999998E-2</v>
      </c>
      <c r="C24" s="25">
        <v>5.0500000000000003E-2</v>
      </c>
      <c r="D24" s="25">
        <f t="shared" si="0"/>
        <v>1.0600000000000054E-3</v>
      </c>
      <c r="E24" s="25">
        <v>14</v>
      </c>
      <c r="F24" s="26">
        <f t="shared" si="1"/>
        <v>7.5714285714286093E-5</v>
      </c>
    </row>
  </sheetData>
  <pageMargins left="0.75" right="0.75" top="1" bottom="1" header="0.5" footer="0.5"/>
  <pageSetup orientation="portrait" horizontalDpi="4294967292" verticalDpi="429496729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CC"/>
  </sheetPr>
  <dimension ref="A1:O52"/>
  <sheetViews>
    <sheetView topLeftCell="J24" workbookViewId="0">
      <selection activeCell="C27" sqref="C27"/>
    </sheetView>
  </sheetViews>
  <sheetFormatPr defaultColWidth="11" defaultRowHeight="15.75" x14ac:dyDescent="0.25"/>
  <cols>
    <col min="1" max="1" width="12.5" customWidth="1"/>
    <col min="2" max="2" width="23.375" customWidth="1"/>
    <col min="5" max="5" width="15.875" customWidth="1"/>
  </cols>
  <sheetData>
    <row r="1" spans="1:10" x14ac:dyDescent="0.25">
      <c r="D1" t="s">
        <v>102</v>
      </c>
      <c r="E1">
        <v>17</v>
      </c>
    </row>
    <row r="3" spans="1:10" x14ac:dyDescent="0.25">
      <c r="A3" t="s">
        <v>75</v>
      </c>
      <c r="B3" t="s">
        <v>103</v>
      </c>
      <c r="C3" t="s">
        <v>104</v>
      </c>
      <c r="D3" t="s">
        <v>105</v>
      </c>
      <c r="E3" t="s">
        <v>106</v>
      </c>
    </row>
    <row r="4" spans="1:10" x14ac:dyDescent="0.25">
      <c r="A4" t="s">
        <v>108</v>
      </c>
      <c r="B4">
        <v>7</v>
      </c>
      <c r="G4">
        <v>0</v>
      </c>
    </row>
    <row r="5" spans="1:10" x14ac:dyDescent="0.25">
      <c r="A5" t="s">
        <v>109</v>
      </c>
      <c r="B5">
        <v>5</v>
      </c>
      <c r="G5">
        <v>0</v>
      </c>
    </row>
    <row r="6" spans="1:10" x14ac:dyDescent="0.25">
      <c r="A6" t="s">
        <v>81</v>
      </c>
      <c r="B6">
        <v>781</v>
      </c>
      <c r="C6" s="4">
        <f>(B6*391)/(2220000*49.2)*1000/'Esc Masses 0.2 18'!D4</f>
        <v>2184.2369236614722</v>
      </c>
      <c r="D6" s="5">
        <f>(B6*391)/(2220000*49.2)*1000/'Esc Masses 0.2 18'!E4</f>
        <v>0.15532351457148205</v>
      </c>
      <c r="E6" s="4">
        <f>AVERAGE(C6:C8)</f>
        <v>1751.2216704957891</v>
      </c>
      <c r="F6" s="20">
        <f>STDEV(C6:C8)/E6</f>
        <v>0.28920944379170027</v>
      </c>
      <c r="G6">
        <v>3</v>
      </c>
      <c r="I6" t="s">
        <v>110</v>
      </c>
      <c r="J6" t="s">
        <v>106</v>
      </c>
    </row>
    <row r="7" spans="1:10" x14ac:dyDescent="0.25">
      <c r="A7" t="s">
        <v>82</v>
      </c>
      <c r="B7">
        <v>387</v>
      </c>
      <c r="C7" s="4">
        <f>(B7*391)/(2220000*49.2)*1000/'Esc Masses 0.2 18'!D5</f>
        <v>1194.2951151319514</v>
      </c>
      <c r="D7" s="5">
        <f>(B7*391)/(2220000*49.2)*1000/'Esc Masses 0.2 18'!E5</f>
        <v>9.2358822236871016E-2</v>
      </c>
      <c r="G7">
        <v>3</v>
      </c>
      <c r="I7">
        <v>3</v>
      </c>
    </row>
    <row r="8" spans="1:10" x14ac:dyDescent="0.25">
      <c r="A8" t="s">
        <v>83</v>
      </c>
      <c r="B8">
        <v>550</v>
      </c>
      <c r="C8" s="4">
        <f>(B8*391)/(2220000*49.2)*1000/'Esc Masses 0.2 18'!D6</f>
        <v>1875.1329726939441</v>
      </c>
      <c r="D8" s="5">
        <f>(B8*391)/(2220000*49.2)*1000/'Esc Masses 0.2 18'!E6</f>
        <v>0.14063497295204613</v>
      </c>
      <c r="G8">
        <v>3</v>
      </c>
      <c r="I8">
        <v>6</v>
      </c>
    </row>
    <row r="9" spans="1:10" x14ac:dyDescent="0.25">
      <c r="A9" t="s">
        <v>84</v>
      </c>
      <c r="B9">
        <v>416</v>
      </c>
      <c r="C9" s="4">
        <f>(B9*391)/(2220000*49.2)*1000/'Esc Masses 0.2 18'!D7</f>
        <v>1601.2865737492011</v>
      </c>
      <c r="D9" s="5">
        <f>(B9*391)/(2220000*49.2)*1000/'Esc Masses 0.2 18'!E7</f>
        <v>9.9279767572450509E-2</v>
      </c>
      <c r="E9" s="4">
        <f>AVERAGE(C9:C11)</f>
        <v>1810.2572313669837</v>
      </c>
      <c r="F9" s="20">
        <f>STDEV(C9:C11)/E9</f>
        <v>0.1184717006297839</v>
      </c>
      <c r="G9">
        <v>6</v>
      </c>
      <c r="I9">
        <v>12</v>
      </c>
    </row>
    <row r="10" spans="1:10" x14ac:dyDescent="0.25">
      <c r="A10" t="s">
        <v>85</v>
      </c>
      <c r="B10">
        <v>533</v>
      </c>
      <c r="C10" s="4">
        <f>(B10*391)/(2220000*49.2)*1000/'Esc Masses 0.2 18'!D8</f>
        <v>2029.8223755670492</v>
      </c>
      <c r="D10" s="5">
        <f>(B10*391)/(2220000*49.2)*1000/'Esc Masses 0.2 18'!E8</f>
        <v>0.13628807378807378</v>
      </c>
      <c r="G10">
        <v>6</v>
      </c>
      <c r="I10">
        <v>16</v>
      </c>
    </row>
    <row r="11" spans="1:10" x14ac:dyDescent="0.25">
      <c r="A11" t="s">
        <v>86</v>
      </c>
      <c r="B11">
        <v>553</v>
      </c>
      <c r="C11" s="4">
        <f>(B11*391)/(2220000*49.2)*1000/'Esc Masses 0.2 18'!D9</f>
        <v>1799.6627447847011</v>
      </c>
      <c r="D11" s="5">
        <f>(B11*391)/(2220000*49.2)*1000/'Esc Masses 0.2 18'!E9</f>
        <v>0.14140207280451181</v>
      </c>
      <c r="G11">
        <v>6</v>
      </c>
      <c r="I11">
        <v>24</v>
      </c>
    </row>
    <row r="12" spans="1:10" x14ac:dyDescent="0.25">
      <c r="A12" t="s">
        <v>87</v>
      </c>
      <c r="B12">
        <v>597</v>
      </c>
      <c r="C12" s="4">
        <f>(B12*391)/(2220000*49.2)*1000/'Esc Masses 0.2 18'!D10</f>
        <v>1619.0455977041322</v>
      </c>
      <c r="D12" s="5">
        <f>(B12*391)/(2220000*49.2)*1000/'Esc Masses 0.2 18'!E10</f>
        <v>0.14247601259796383</v>
      </c>
      <c r="E12" s="4">
        <f>AVERAGE(C12:C14)</f>
        <v>1791.7180446585198</v>
      </c>
      <c r="F12" s="20">
        <f>STDEV(C12:C14)/E12</f>
        <v>8.6323245309469415E-2</v>
      </c>
      <c r="G12">
        <v>12</v>
      </c>
      <c r="I12">
        <v>36</v>
      </c>
    </row>
    <row r="13" spans="1:10" x14ac:dyDescent="0.25">
      <c r="A13" t="s">
        <v>88</v>
      </c>
      <c r="B13">
        <v>529</v>
      </c>
      <c r="C13" s="4">
        <f>(B13*391)/(2220000*49.2)*1000/'Esc Masses 0.2 18'!D11</f>
        <v>1838.5571221233017</v>
      </c>
      <c r="D13" s="5">
        <f>(B13*391)/(2220000*49.2)*1000/'Esc Masses 0.2 18'!E11</f>
        <v>0.14567029506053897</v>
      </c>
      <c r="G13">
        <v>12</v>
      </c>
    </row>
    <row r="14" spans="1:10" x14ac:dyDescent="0.25">
      <c r="A14" t="s">
        <v>89</v>
      </c>
      <c r="B14">
        <v>691</v>
      </c>
      <c r="C14" s="4">
        <f>(B14*391)/(2220000*49.2)*1000/'Esc Masses 0.2 18'!D12</f>
        <v>1917.5514141481251</v>
      </c>
      <c r="D14" s="5">
        <f>(B14*391)/(2220000*49.2)*1000/'Esc Masses 0.2 18'!E12</f>
        <v>0.15460258276569253</v>
      </c>
      <c r="G14">
        <v>12</v>
      </c>
    </row>
    <row r="15" spans="1:10" x14ac:dyDescent="0.25">
      <c r="A15" t="s">
        <v>177</v>
      </c>
      <c r="B15">
        <v>972</v>
      </c>
      <c r="C15" s="4">
        <f>(B15*391)/(2220000*49.2)*1000/'Esc Masses 0.2 18'!D13</f>
        <v>2999.6249403314132</v>
      </c>
      <c r="D15" s="5">
        <f>(B15*391)/(2220000*49.2)*1000/'Esc Masses 0.2 18'!E13</f>
        <v>0.24854035219888879</v>
      </c>
      <c r="E15" s="4">
        <f>AVERAGE(C15:C17)</f>
        <v>3024.7875322423147</v>
      </c>
      <c r="F15" s="20">
        <f>STDEV(C15:C17)/E15</f>
        <v>0.15349674619778542</v>
      </c>
      <c r="G15">
        <v>16</v>
      </c>
    </row>
    <row r="16" spans="1:10" x14ac:dyDescent="0.25">
      <c r="A16" t="s">
        <v>178</v>
      </c>
      <c r="B16">
        <v>1291</v>
      </c>
      <c r="C16" s="4">
        <f>(B16*391)/(2220000*49.2)*1000/'Esc Masses 0.2 18'!D14</f>
        <v>3501.1522054204934</v>
      </c>
      <c r="D16" s="5">
        <f>(B16*391)/(2220000*49.2)*1000/'Esc Masses 0.2 18'!E14</f>
        <v>0.30810139407700382</v>
      </c>
      <c r="G16">
        <v>16</v>
      </c>
    </row>
    <row r="17" spans="1:15" x14ac:dyDescent="0.25">
      <c r="A17" t="s">
        <v>179</v>
      </c>
      <c r="B17">
        <v>798</v>
      </c>
      <c r="C17" s="4">
        <f>(B17*391)/(2220000*49.2)*1000/'Esc Masses 0.2 18'!D15</f>
        <v>2573.5854509750361</v>
      </c>
      <c r="D17" s="5">
        <f>(B17*391)/(2220000*49.2)*1000/'Esc Masses 0.2 18'!E15</f>
        <v>0.17854249066139311</v>
      </c>
      <c r="G17">
        <v>16</v>
      </c>
    </row>
    <row r="18" spans="1:15" x14ac:dyDescent="0.25">
      <c r="A18" t="s">
        <v>90</v>
      </c>
      <c r="B18">
        <v>739</v>
      </c>
      <c r="C18" s="4">
        <f>(B18*391)/(2220000*49.2)*1000/'Esc Masses 0.2 18'!D16</f>
        <v>1729.0664648388185</v>
      </c>
      <c r="D18" s="5">
        <f>(B18*391)/(2220000*49.2)*1000/'Esc Masses 0.2 18'!E16</f>
        <v>0.16534198070021242</v>
      </c>
      <c r="E18" s="4">
        <f>AVERAGE(C18:C20)</f>
        <v>2438.6944081890629</v>
      </c>
      <c r="F18" s="20">
        <f>STDEV(C18:C20)/E18</f>
        <v>0.3150482922138883</v>
      </c>
      <c r="G18">
        <v>24</v>
      </c>
      <c r="O18" t="s">
        <v>111</v>
      </c>
    </row>
    <row r="19" spans="1:15" x14ac:dyDescent="0.25">
      <c r="A19" t="s">
        <v>91</v>
      </c>
      <c r="B19">
        <v>1191</v>
      </c>
      <c r="C19" s="4">
        <f>(B19*391)/(2220000*49.2)*1000/'Esc Masses 0.2 18'!D17</f>
        <v>3254.6114351178621</v>
      </c>
      <c r="D19" s="5">
        <f>(B19*391)/(2220000*49.2)*1000/'Esc Masses 0.2 18'!E17</f>
        <v>0.26647131125027468</v>
      </c>
      <c r="G19">
        <v>24</v>
      </c>
    </row>
    <row r="20" spans="1:15" x14ac:dyDescent="0.25">
      <c r="A20" t="s">
        <v>92</v>
      </c>
      <c r="B20">
        <v>632</v>
      </c>
      <c r="C20" s="4">
        <f>(B20*391)/(2220000*49.2)*1000/'Esc Masses 0.2 18'!D18</f>
        <v>2332.4053246105073</v>
      </c>
      <c r="D20" s="5">
        <f>(B20*391)/(2220000*49.2)*1000/'Esc Masses 0.2 18'!E18</f>
        <v>0.15082887765814593</v>
      </c>
      <c r="G20">
        <v>24</v>
      </c>
    </row>
    <row r="21" spans="1:15" x14ac:dyDescent="0.25">
      <c r="A21" t="s">
        <v>93</v>
      </c>
      <c r="B21">
        <v>1033</v>
      </c>
      <c r="C21" s="4">
        <f>(B21*391)/(2220000*49.2)*1000/'Esc Masses 0.2 18'!D19</f>
        <v>3215.5936424229158</v>
      </c>
      <c r="D21" s="5">
        <f>(B21*391)/(2220000*49.2)*1000/'Esc Masses 0.2 18'!E19</f>
        <v>0.26413804919902484</v>
      </c>
      <c r="E21" s="4">
        <f>AVERAGE(C21:C23)</f>
        <v>4060.6146725749218</v>
      </c>
      <c r="F21" s="20">
        <f>STDEV(C21:C23)/E21</f>
        <v>0.30076537161812966</v>
      </c>
      <c r="G21">
        <v>36</v>
      </c>
    </row>
    <row r="22" spans="1:15" x14ac:dyDescent="0.25">
      <c r="A22" t="s">
        <v>94</v>
      </c>
      <c r="B22">
        <v>989</v>
      </c>
      <c r="C22" s="4">
        <f>(B22*391)/(2220000*49.2)*1000/'Esc Masses 0.2 18'!D20</f>
        <v>3505.3678406733329</v>
      </c>
      <c r="D22" s="5">
        <f>(B22*391)/(2220000*49.2)*1000/'Esc Masses 0.2 18'!E20</f>
        <v>0.25288725136286111</v>
      </c>
      <c r="G22">
        <v>36</v>
      </c>
    </row>
    <row r="23" spans="1:15" x14ac:dyDescent="0.25">
      <c r="A23" t="s">
        <v>95</v>
      </c>
      <c r="B23">
        <v>1617</v>
      </c>
      <c r="C23" s="4">
        <f>(B23*391)/(2220000*49.2)*1000/'Esc Masses 0.2 18'!D21</f>
        <v>5460.8825346285166</v>
      </c>
      <c r="D23" s="5">
        <f>(B23*391)/(2220000*49.2)*1000/'Esc Masses 0.2 18'!E21</f>
        <v>0.36178346791913868</v>
      </c>
      <c r="G23">
        <v>36</v>
      </c>
    </row>
    <row r="24" spans="1:15" x14ac:dyDescent="0.25">
      <c r="A24" t="s">
        <v>99</v>
      </c>
      <c r="B24">
        <v>5</v>
      </c>
      <c r="C24" s="4">
        <f>(B24*391)/(2220000*49.2)*1000/'Esc Masses 0.2 18'!D22</f>
        <v>14.671308653715707</v>
      </c>
      <c r="D24" s="5">
        <f>(B24*391)/(2220000*49.2)*1000/'Esc Masses 0.2 18'!E22</f>
        <v>1.2784997541095103E-3</v>
      </c>
      <c r="E24" s="4">
        <f>AVERAGE(C24:C25)</f>
        <v>10.845261495001632</v>
      </c>
      <c r="F24" s="20">
        <f>STDEV(C24:C26)/E24</f>
        <v>0.38021188686954283</v>
      </c>
    </row>
    <row r="25" spans="1:15" x14ac:dyDescent="0.25">
      <c r="A25" t="s">
        <v>100</v>
      </c>
      <c r="B25">
        <v>2</v>
      </c>
      <c r="C25" s="4">
        <f>(B25*391)/(2220000*49.2)*1000/'Esc Masses 0.2 18'!D23</f>
        <v>7.019214336287555</v>
      </c>
      <c r="D25" s="5">
        <f>(B25*391)/(2220000*49.2)*1000/'Esc Masses 0.2 18'!E23</f>
        <v>4.7730657486755052E-4</v>
      </c>
    </row>
    <row r="26" spans="1:15" x14ac:dyDescent="0.25">
      <c r="A26" t="s">
        <v>101</v>
      </c>
      <c r="B26">
        <v>4</v>
      </c>
      <c r="C26" s="4">
        <f>(B26*391)/(2220000*49.2)*1000/'Esc Masses 0.2 18'!D24</f>
        <v>13.508676647194758</v>
      </c>
      <c r="D26" s="5">
        <f>(B26*391)/(2220000*49.2)*1000/'Esc Masses 0.2 18'!E24</f>
        <v>1.0227998032876083E-3</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1</v>
      </c>
      <c r="C32">
        <v>0</v>
      </c>
      <c r="D32">
        <v>1</v>
      </c>
      <c r="E32">
        <v>0</v>
      </c>
      <c r="F32">
        <v>1</v>
      </c>
      <c r="G32" s="21">
        <f t="shared" ref="G32:G38" si="0">(E32)/(SUM(B32+C32+D32+E32+F32))</f>
        <v>0</v>
      </c>
      <c r="I32" t="s">
        <v>102</v>
      </c>
      <c r="J32">
        <v>20</v>
      </c>
      <c r="L32">
        <v>0</v>
      </c>
      <c r="M32">
        <v>0</v>
      </c>
      <c r="N32">
        <v>0</v>
      </c>
      <c r="O32">
        <v>0</v>
      </c>
    </row>
    <row r="33" spans="1:15" x14ac:dyDescent="0.25">
      <c r="A33" t="s">
        <v>123</v>
      </c>
      <c r="B33">
        <v>109</v>
      </c>
      <c r="C33">
        <v>13</v>
      </c>
      <c r="D33">
        <v>66</v>
      </c>
      <c r="E33">
        <v>573</v>
      </c>
      <c r="F33">
        <v>4</v>
      </c>
      <c r="G33" s="21">
        <f t="shared" si="0"/>
        <v>0.74901960784313726</v>
      </c>
      <c r="L33">
        <v>0</v>
      </c>
      <c r="M33">
        <v>0</v>
      </c>
      <c r="N33">
        <v>0</v>
      </c>
      <c r="O33">
        <v>0</v>
      </c>
    </row>
    <row r="34" spans="1:15" x14ac:dyDescent="0.25">
      <c r="A34" t="s">
        <v>124</v>
      </c>
      <c r="B34">
        <v>180</v>
      </c>
      <c r="C34">
        <v>15</v>
      </c>
      <c r="D34">
        <v>81</v>
      </c>
      <c r="E34">
        <v>516</v>
      </c>
      <c r="F34">
        <v>0</v>
      </c>
      <c r="G34" s="21">
        <f t="shared" si="0"/>
        <v>0.65151515151515149</v>
      </c>
      <c r="L34">
        <v>0</v>
      </c>
      <c r="M34">
        <v>0</v>
      </c>
      <c r="N34">
        <v>0</v>
      </c>
      <c r="O34">
        <v>0</v>
      </c>
    </row>
    <row r="35" spans="1:15" x14ac:dyDescent="0.25">
      <c r="A35" t="s">
        <v>125</v>
      </c>
      <c r="B35">
        <v>410</v>
      </c>
      <c r="C35">
        <v>39</v>
      </c>
      <c r="D35">
        <v>85</v>
      </c>
      <c r="E35">
        <v>412</v>
      </c>
      <c r="F35">
        <v>2</v>
      </c>
      <c r="G35" s="21">
        <f t="shared" si="0"/>
        <v>0.43459915611814348</v>
      </c>
      <c r="L35">
        <v>3</v>
      </c>
      <c r="M35" s="4">
        <v>2184.2369236614722</v>
      </c>
      <c r="N35" s="4">
        <f>M35*0.75</f>
        <v>1638.1776927461042</v>
      </c>
      <c r="O35" s="4">
        <f>M35-N35</f>
        <v>546.05923091536806</v>
      </c>
    </row>
    <row r="36" spans="1:15" x14ac:dyDescent="0.25">
      <c r="A36" t="s">
        <v>180</v>
      </c>
      <c r="B36">
        <v>396</v>
      </c>
      <c r="C36">
        <v>39</v>
      </c>
      <c r="D36">
        <v>103</v>
      </c>
      <c r="E36">
        <v>431</v>
      </c>
      <c r="F36">
        <v>5</v>
      </c>
      <c r="G36" s="21">
        <f t="shared" si="0"/>
        <v>0.44250513347022585</v>
      </c>
      <c r="L36">
        <v>3</v>
      </c>
      <c r="M36" s="4">
        <v>1194.2951151319514</v>
      </c>
      <c r="N36" s="4">
        <f t="shared" ref="N36:N37" si="1">M36*0.75</f>
        <v>895.72133634896363</v>
      </c>
      <c r="O36" s="4">
        <f t="shared" ref="O36:O51" si="2">M36-N36</f>
        <v>298.5737787829878</v>
      </c>
    </row>
    <row r="37" spans="1:15" x14ac:dyDescent="0.25">
      <c r="A37" t="s">
        <v>126</v>
      </c>
      <c r="B37">
        <v>567</v>
      </c>
      <c r="C37">
        <v>56</v>
      </c>
      <c r="D37">
        <v>107</v>
      </c>
      <c r="E37">
        <v>356</v>
      </c>
      <c r="F37">
        <v>3</v>
      </c>
      <c r="G37" s="21">
        <f t="shared" si="0"/>
        <v>0.32690541781450871</v>
      </c>
      <c r="L37">
        <v>3</v>
      </c>
      <c r="M37" s="4">
        <v>1875.1329726939441</v>
      </c>
      <c r="N37" s="4">
        <f t="shared" si="1"/>
        <v>1406.3497295204581</v>
      </c>
      <c r="O37" s="4">
        <f t="shared" si="2"/>
        <v>468.78324317348597</v>
      </c>
    </row>
    <row r="38" spans="1:15" x14ac:dyDescent="0.25">
      <c r="A38" t="s">
        <v>127</v>
      </c>
      <c r="B38">
        <v>933</v>
      </c>
      <c r="C38">
        <v>85</v>
      </c>
      <c r="D38">
        <v>107</v>
      </c>
      <c r="E38">
        <v>290</v>
      </c>
      <c r="F38">
        <v>3</v>
      </c>
      <c r="G38" s="21">
        <f t="shared" si="0"/>
        <v>0.20451339915373765</v>
      </c>
      <c r="L38">
        <v>6</v>
      </c>
      <c r="M38" s="4">
        <v>1601.2865737492011</v>
      </c>
      <c r="N38" s="4">
        <f>M38*0.65</f>
        <v>1040.8362729369808</v>
      </c>
      <c r="O38" s="4">
        <f t="shared" si="2"/>
        <v>560.45030081222035</v>
      </c>
    </row>
    <row r="39" spans="1:15" x14ac:dyDescent="0.25">
      <c r="L39">
        <v>6</v>
      </c>
      <c r="M39" s="4">
        <v>2029.8223755670492</v>
      </c>
      <c r="N39" s="4">
        <f t="shared" ref="N39:N40" si="3">M39*0.65</f>
        <v>1319.384544118582</v>
      </c>
      <c r="O39" s="4">
        <f t="shared" si="2"/>
        <v>710.43783144846725</v>
      </c>
    </row>
    <row r="40" spans="1:15" x14ac:dyDescent="0.25">
      <c r="L40">
        <v>6</v>
      </c>
      <c r="M40" s="4">
        <v>1799.6627447847011</v>
      </c>
      <c r="N40" s="4">
        <f t="shared" si="3"/>
        <v>1169.7807841100557</v>
      </c>
      <c r="O40" s="4">
        <f t="shared" si="2"/>
        <v>629.88196067464537</v>
      </c>
    </row>
    <row r="41" spans="1:15" x14ac:dyDescent="0.25">
      <c r="L41">
        <v>12</v>
      </c>
      <c r="M41" s="4">
        <v>1619.0455977041322</v>
      </c>
      <c r="N41" s="4">
        <f>M41*0.43</f>
        <v>696.18960701277683</v>
      </c>
      <c r="O41" s="4">
        <f t="shared" si="2"/>
        <v>922.85599069135537</v>
      </c>
    </row>
    <row r="42" spans="1:15" x14ac:dyDescent="0.25">
      <c r="L42">
        <v>12</v>
      </c>
      <c r="M42" s="4">
        <v>1838.5571221233017</v>
      </c>
      <c r="N42" s="4">
        <f t="shared" ref="N42:N43" si="4">M42*0.43</f>
        <v>790.57956251301971</v>
      </c>
      <c r="O42" s="4">
        <f t="shared" si="2"/>
        <v>1047.977559610282</v>
      </c>
    </row>
    <row r="43" spans="1:15" x14ac:dyDescent="0.25">
      <c r="L43">
        <v>12</v>
      </c>
      <c r="M43" s="4">
        <v>1917.5514141481251</v>
      </c>
      <c r="N43" s="4">
        <f t="shared" si="4"/>
        <v>824.54710808369373</v>
      </c>
      <c r="O43" s="4">
        <f t="shared" si="2"/>
        <v>1093.0043060644314</v>
      </c>
    </row>
    <row r="44" spans="1:15" x14ac:dyDescent="0.25">
      <c r="L44">
        <v>16</v>
      </c>
      <c r="M44" s="4">
        <v>2999.6249403314132</v>
      </c>
      <c r="N44" s="4">
        <f>M44*0.44</f>
        <v>1319.8349737458218</v>
      </c>
      <c r="O44" s="4">
        <f t="shared" si="2"/>
        <v>1679.7899665855914</v>
      </c>
    </row>
    <row r="45" spans="1:15" x14ac:dyDescent="0.25">
      <c r="L45">
        <v>16</v>
      </c>
      <c r="M45" s="4">
        <v>3501.1522054204934</v>
      </c>
      <c r="N45" s="4">
        <f t="shared" ref="N45:N46" si="5">M45*0.44</f>
        <v>1540.506970385017</v>
      </c>
      <c r="O45" s="4">
        <f t="shared" si="2"/>
        <v>1960.6452350354764</v>
      </c>
    </row>
    <row r="46" spans="1:15" x14ac:dyDescent="0.25">
      <c r="L46">
        <v>16</v>
      </c>
      <c r="M46" s="4">
        <v>2573.5854509750361</v>
      </c>
      <c r="N46" s="4">
        <f t="shared" si="5"/>
        <v>1132.377598429016</v>
      </c>
      <c r="O46" s="4">
        <f t="shared" si="2"/>
        <v>1441.2078525460201</v>
      </c>
    </row>
    <row r="47" spans="1:15" x14ac:dyDescent="0.25">
      <c r="L47">
        <v>24</v>
      </c>
      <c r="M47" s="4">
        <v>1729.0664648388185</v>
      </c>
      <c r="N47" s="4">
        <f>M47*0.33</f>
        <v>570.59193339681019</v>
      </c>
      <c r="O47" s="4">
        <f t="shared" si="2"/>
        <v>1158.4745314420084</v>
      </c>
    </row>
    <row r="48" spans="1:15" x14ac:dyDescent="0.25">
      <c r="L48">
        <v>24</v>
      </c>
      <c r="M48" s="4">
        <v>3254.6114351178621</v>
      </c>
      <c r="N48" s="4">
        <f t="shared" ref="N48:N49" si="6">M48*0.33</f>
        <v>1074.0217735888946</v>
      </c>
      <c r="O48" s="4">
        <f t="shared" si="2"/>
        <v>2180.5896615289676</v>
      </c>
    </row>
    <row r="49" spans="12:15" x14ac:dyDescent="0.25">
      <c r="L49">
        <v>24</v>
      </c>
      <c r="M49" s="4">
        <v>2332.4053246105073</v>
      </c>
      <c r="N49" s="4">
        <f t="shared" si="6"/>
        <v>769.69375712146746</v>
      </c>
      <c r="O49" s="4">
        <f t="shared" si="2"/>
        <v>1562.7115674890397</v>
      </c>
    </row>
    <row r="50" spans="12:15" x14ac:dyDescent="0.25">
      <c r="L50">
        <v>36</v>
      </c>
      <c r="M50" s="4">
        <v>3215.5936424229158</v>
      </c>
      <c r="N50" s="4">
        <f>M50*0.2</f>
        <v>643.11872848458324</v>
      </c>
      <c r="O50" s="4">
        <f t="shared" si="2"/>
        <v>2572.4749139383325</v>
      </c>
    </row>
    <row r="51" spans="12:15" x14ac:dyDescent="0.25">
      <c r="L51">
        <v>36</v>
      </c>
      <c r="M51" s="4">
        <v>3505.3678406733329</v>
      </c>
      <c r="N51" s="4">
        <f t="shared" ref="N51:N52" si="7">M51*0.2</f>
        <v>701.07356813466663</v>
      </c>
      <c r="O51" s="4">
        <f t="shared" si="2"/>
        <v>2804.2942725386665</v>
      </c>
    </row>
    <row r="52" spans="12:15" x14ac:dyDescent="0.25">
      <c r="L52">
        <v>36</v>
      </c>
      <c r="M52" s="4">
        <v>5460.8825346285166</v>
      </c>
      <c r="N52" s="4">
        <f t="shared" si="7"/>
        <v>1092.1765069257033</v>
      </c>
      <c r="O52" s="4">
        <f>M52-N52</f>
        <v>4368.7060277028131</v>
      </c>
    </row>
  </sheetData>
  <pageMargins left="0.75" right="0.75" top="1" bottom="1" header="0.5" footer="0.5"/>
  <pageSetup orientation="portrait" horizontalDpi="4294967292" verticalDpi="4294967292"/>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CC"/>
  </sheetPr>
  <dimension ref="A1:J43"/>
  <sheetViews>
    <sheetView workbookViewId="0">
      <selection activeCell="C27" sqref="C27"/>
    </sheetView>
  </sheetViews>
  <sheetFormatPr defaultColWidth="11" defaultRowHeight="15.75" x14ac:dyDescent="0.25"/>
  <cols>
    <col min="2" max="2" width="23.375" customWidth="1"/>
    <col min="6" max="6" width="12.375" customWidth="1"/>
  </cols>
  <sheetData>
    <row r="1" spans="1:10" x14ac:dyDescent="0.25">
      <c r="B1" t="s">
        <v>102</v>
      </c>
      <c r="C1">
        <v>17</v>
      </c>
    </row>
    <row r="3" spans="1:10" x14ac:dyDescent="0.25">
      <c r="A3" t="s">
        <v>75</v>
      </c>
      <c r="B3" t="s">
        <v>129</v>
      </c>
      <c r="C3" t="s">
        <v>130</v>
      </c>
      <c r="D3" t="s">
        <v>131</v>
      </c>
      <c r="E3" t="s">
        <v>132</v>
      </c>
      <c r="F3" t="s">
        <v>133</v>
      </c>
      <c r="H3" t="s">
        <v>132</v>
      </c>
    </row>
    <row r="4" spans="1:10" x14ac:dyDescent="0.25">
      <c r="A4" t="s">
        <v>136</v>
      </c>
      <c r="B4">
        <v>11</v>
      </c>
      <c r="C4">
        <f>B4/10</f>
        <v>1.1000000000000001</v>
      </c>
      <c r="D4" s="4">
        <f>(C4*391*1000)/(2220000*10.9)</f>
        <v>1.7774196214563186E-2</v>
      </c>
      <c r="E4" s="4"/>
      <c r="H4" s="4">
        <f>AVERAGE(F11,F14,F17,F20,F23,F26)</f>
        <v>261.02703313069168</v>
      </c>
      <c r="J4" s="19"/>
    </row>
    <row r="5" spans="1:10" x14ac:dyDescent="0.25">
      <c r="A5" t="s">
        <v>137</v>
      </c>
      <c r="B5">
        <v>175</v>
      </c>
      <c r="C5">
        <f>B5/2000</f>
        <v>8.7499999999999994E-2</v>
      </c>
      <c r="D5" s="2">
        <f>(C5*391*1000)/(2220000*49.2)</f>
        <v>3.1323243975683E-4</v>
      </c>
      <c r="E5" s="4">
        <f>D5*1000*1000</f>
        <v>313.23243975682999</v>
      </c>
    </row>
    <row r="6" spans="1:10" x14ac:dyDescent="0.25">
      <c r="A6" t="s">
        <v>138</v>
      </c>
      <c r="B6">
        <v>146</v>
      </c>
      <c r="C6">
        <f t="shared" ref="C6:C31" si="0">B6/2000</f>
        <v>7.2999999999999995E-2</v>
      </c>
      <c r="D6" s="2">
        <f t="shared" ref="D6:D31" si="1">(C6*391*1000)/(2220000*49.2)</f>
        <v>2.613253497399839E-4</v>
      </c>
      <c r="E6" s="4">
        <f t="shared" ref="E6:E31" si="2">D6*1000*1000</f>
        <v>261.32534973998389</v>
      </c>
    </row>
    <row r="7" spans="1:10" x14ac:dyDescent="0.25">
      <c r="A7" t="s">
        <v>139</v>
      </c>
      <c r="B7">
        <v>138</v>
      </c>
      <c r="C7">
        <f t="shared" si="0"/>
        <v>6.9000000000000006E-2</v>
      </c>
      <c r="D7" s="2">
        <f t="shared" si="1"/>
        <v>2.4700615249395743E-4</v>
      </c>
      <c r="E7" s="4">
        <f t="shared" si="2"/>
        <v>247.00615249395744</v>
      </c>
    </row>
    <row r="8" spans="1:10" x14ac:dyDescent="0.25">
      <c r="A8" t="s">
        <v>181</v>
      </c>
      <c r="B8">
        <v>130</v>
      </c>
      <c r="C8">
        <f t="shared" si="0"/>
        <v>6.5000000000000002E-2</v>
      </c>
      <c r="D8" s="2">
        <f t="shared" si="1"/>
        <v>2.3268695524793085E-4</v>
      </c>
      <c r="E8" s="4">
        <f t="shared" si="2"/>
        <v>232.68695524793085</v>
      </c>
    </row>
    <row r="9" spans="1:10" x14ac:dyDescent="0.25">
      <c r="A9" t="s">
        <v>140</v>
      </c>
      <c r="B9">
        <v>149</v>
      </c>
      <c r="C9">
        <f t="shared" si="0"/>
        <v>7.4499999999999997E-2</v>
      </c>
      <c r="D9" s="2">
        <f t="shared" si="1"/>
        <v>2.6669504870724381E-4</v>
      </c>
      <c r="E9" s="4">
        <f t="shared" si="2"/>
        <v>266.69504870724381</v>
      </c>
    </row>
    <row r="10" spans="1:10" x14ac:dyDescent="0.25">
      <c r="A10" t="s">
        <v>141</v>
      </c>
      <c r="B10">
        <v>121</v>
      </c>
      <c r="C10">
        <f t="shared" si="0"/>
        <v>6.0499999999999998E-2</v>
      </c>
      <c r="D10" s="2">
        <f t="shared" si="1"/>
        <v>2.1657785834615102E-4</v>
      </c>
      <c r="E10" s="4">
        <f t="shared" si="2"/>
        <v>216.577858346151</v>
      </c>
    </row>
    <row r="11" spans="1:10" x14ac:dyDescent="0.25">
      <c r="A11" t="s">
        <v>143</v>
      </c>
      <c r="B11">
        <v>168</v>
      </c>
      <c r="C11">
        <f t="shared" si="0"/>
        <v>8.4000000000000005E-2</v>
      </c>
      <c r="D11" s="2">
        <f t="shared" si="1"/>
        <v>3.0070314216655678E-4</v>
      </c>
      <c r="E11" s="4">
        <f t="shared" si="2"/>
        <v>300.7031421665568</v>
      </c>
      <c r="F11" s="4">
        <f>AVERAGE(E11:E13)</f>
        <v>348.43379965331195</v>
      </c>
      <c r="G11" s="20">
        <f>STDEV(E11:E13)/F11</f>
        <v>0.32069499612628605</v>
      </c>
      <c r="H11" s="13">
        <f>E11/1000</f>
        <v>0.3007031421665568</v>
      </c>
      <c r="I11">
        <v>3</v>
      </c>
    </row>
    <row r="12" spans="1:10" x14ac:dyDescent="0.25">
      <c r="A12" t="s">
        <v>144</v>
      </c>
      <c r="B12">
        <v>266</v>
      </c>
      <c r="C12">
        <f t="shared" si="0"/>
        <v>0.13300000000000001</v>
      </c>
      <c r="D12" s="2">
        <f t="shared" si="1"/>
        <v>4.7611330843038162E-4</v>
      </c>
      <c r="E12" s="4">
        <f t="shared" si="2"/>
        <v>476.11330843038161</v>
      </c>
      <c r="H12" s="13">
        <f t="shared" ref="H12:H28" si="3">E12/1000</f>
        <v>0.47611330843038163</v>
      </c>
      <c r="I12">
        <v>3</v>
      </c>
    </row>
    <row r="13" spans="1:10" x14ac:dyDescent="0.25">
      <c r="A13" t="s">
        <v>145</v>
      </c>
      <c r="B13">
        <v>150</v>
      </c>
      <c r="C13">
        <f t="shared" si="0"/>
        <v>7.4999999999999997E-2</v>
      </c>
      <c r="D13" s="2">
        <f t="shared" si="1"/>
        <v>2.6848494836299717E-4</v>
      </c>
      <c r="E13" s="4">
        <f t="shared" si="2"/>
        <v>268.48494836299722</v>
      </c>
      <c r="H13" s="13">
        <f t="shared" si="3"/>
        <v>0.26848494836299719</v>
      </c>
      <c r="I13">
        <v>3</v>
      </c>
    </row>
    <row r="14" spans="1:10" x14ac:dyDescent="0.25">
      <c r="A14" t="s">
        <v>146</v>
      </c>
      <c r="B14">
        <v>146</v>
      </c>
      <c r="C14">
        <f t="shared" si="0"/>
        <v>7.2999999999999995E-2</v>
      </c>
      <c r="D14" s="2">
        <f t="shared" si="1"/>
        <v>2.613253497399839E-4</v>
      </c>
      <c r="E14" s="4">
        <f t="shared" si="2"/>
        <v>261.32534973998389</v>
      </c>
      <c r="F14" s="4">
        <f>AVERAGE(E14:E16)</f>
        <v>263.11524939573718</v>
      </c>
      <c r="G14" s="20">
        <f>STDEV(E14:E16)/F14</f>
        <v>2.4527559697033914E-2</v>
      </c>
      <c r="H14" s="13">
        <f t="shared" si="3"/>
        <v>0.26132534973998389</v>
      </c>
      <c r="I14">
        <v>6</v>
      </c>
    </row>
    <row r="15" spans="1:10" x14ac:dyDescent="0.25">
      <c r="A15" t="s">
        <v>147</v>
      </c>
      <c r="B15">
        <v>151</v>
      </c>
      <c r="C15">
        <f t="shared" si="0"/>
        <v>7.5499999999999998E-2</v>
      </c>
      <c r="D15" s="2">
        <f t="shared" si="1"/>
        <v>2.7027484801875047E-4</v>
      </c>
      <c r="E15" s="4">
        <f t="shared" si="2"/>
        <v>270.27484801875045</v>
      </c>
      <c r="H15" s="13">
        <f t="shared" si="3"/>
        <v>0.27027484801875046</v>
      </c>
      <c r="I15">
        <v>6</v>
      </c>
    </row>
    <row r="16" spans="1:10" x14ac:dyDescent="0.25">
      <c r="A16" t="s">
        <v>148</v>
      </c>
      <c r="B16">
        <v>144</v>
      </c>
      <c r="C16">
        <f t="shared" si="0"/>
        <v>7.1999999999999995E-2</v>
      </c>
      <c r="D16" s="2">
        <f t="shared" si="1"/>
        <v>2.5774555042847724E-4</v>
      </c>
      <c r="E16" s="4">
        <f t="shared" si="2"/>
        <v>257.74555042847726</v>
      </c>
      <c r="H16" s="13">
        <f t="shared" si="3"/>
        <v>0.25774555042847724</v>
      </c>
      <c r="I16">
        <v>6</v>
      </c>
    </row>
    <row r="17" spans="1:9" x14ac:dyDescent="0.25">
      <c r="A17" t="s">
        <v>149</v>
      </c>
      <c r="B17">
        <v>121</v>
      </c>
      <c r="C17">
        <f t="shared" si="0"/>
        <v>6.0499999999999998E-2</v>
      </c>
      <c r="D17" s="2">
        <f t="shared" si="1"/>
        <v>2.1657785834615102E-4</v>
      </c>
      <c r="E17" s="4">
        <f t="shared" si="2"/>
        <v>216.577858346151</v>
      </c>
      <c r="F17" s="4">
        <f>AVERAGE(E17:E19)</f>
        <v>227.91388949925536</v>
      </c>
      <c r="G17" s="20">
        <f>STDEV(E17:E19)/F17</f>
        <v>4.7338066282788353E-2</v>
      </c>
      <c r="H17" s="13">
        <f t="shared" si="3"/>
        <v>0.21657785834615101</v>
      </c>
      <c r="I17">
        <v>12</v>
      </c>
    </row>
    <row r="18" spans="1:9" x14ac:dyDescent="0.25">
      <c r="A18" t="s">
        <v>150</v>
      </c>
      <c r="B18">
        <v>128</v>
      </c>
      <c r="C18">
        <f t="shared" si="0"/>
        <v>6.4000000000000001E-2</v>
      </c>
      <c r="D18" s="2">
        <f t="shared" si="1"/>
        <v>2.2910715593642424E-4</v>
      </c>
      <c r="E18" s="4">
        <f t="shared" si="2"/>
        <v>229.10715593642425</v>
      </c>
      <c r="H18" s="13">
        <f t="shared" si="3"/>
        <v>0.22910715593642425</v>
      </c>
      <c r="I18">
        <v>12</v>
      </c>
    </row>
    <row r="19" spans="1:9" x14ac:dyDescent="0.25">
      <c r="A19" t="s">
        <v>151</v>
      </c>
      <c r="B19">
        <v>133</v>
      </c>
      <c r="C19">
        <f t="shared" si="0"/>
        <v>6.6500000000000004E-2</v>
      </c>
      <c r="D19" s="2">
        <f t="shared" si="1"/>
        <v>2.3805665421519081E-4</v>
      </c>
      <c r="E19" s="4">
        <f t="shared" si="2"/>
        <v>238.0566542151908</v>
      </c>
      <c r="H19" s="13">
        <f t="shared" si="3"/>
        <v>0.23805665421519082</v>
      </c>
      <c r="I19">
        <v>12</v>
      </c>
    </row>
    <row r="20" spans="1:9" x14ac:dyDescent="0.25">
      <c r="A20" t="s">
        <v>182</v>
      </c>
      <c r="B20">
        <v>105</v>
      </c>
      <c r="C20">
        <f t="shared" si="0"/>
        <v>5.2499999999999998E-2</v>
      </c>
      <c r="D20" s="2">
        <f t="shared" si="1"/>
        <v>1.8793946385409801E-4</v>
      </c>
      <c r="E20" s="4">
        <f t="shared" si="2"/>
        <v>187.93946385409802</v>
      </c>
      <c r="F20" s="4">
        <f>AVERAGE(E20:E22)</f>
        <v>229.10715593642422</v>
      </c>
      <c r="G20" s="20">
        <f>STDEV(E20:E22)/F20</f>
        <v>0.1796875000000005</v>
      </c>
      <c r="H20" s="13">
        <f t="shared" si="3"/>
        <v>0.18793946385409802</v>
      </c>
      <c r="I20">
        <v>16</v>
      </c>
    </row>
    <row r="21" spans="1:9" x14ac:dyDescent="0.25">
      <c r="A21" t="s">
        <v>183</v>
      </c>
      <c r="B21">
        <v>151</v>
      </c>
      <c r="C21">
        <f t="shared" si="0"/>
        <v>7.5499999999999998E-2</v>
      </c>
      <c r="D21" s="2">
        <f t="shared" si="1"/>
        <v>2.7027484801875047E-4</v>
      </c>
      <c r="E21" s="4">
        <f t="shared" si="2"/>
        <v>270.27484801875045</v>
      </c>
      <c r="H21" s="13">
        <f t="shared" si="3"/>
        <v>0.27027484801875046</v>
      </c>
      <c r="I21">
        <v>16</v>
      </c>
    </row>
    <row r="22" spans="1:9" x14ac:dyDescent="0.25">
      <c r="A22" t="s">
        <v>184</v>
      </c>
      <c r="B22">
        <v>128</v>
      </c>
      <c r="C22">
        <f t="shared" si="0"/>
        <v>6.4000000000000001E-2</v>
      </c>
      <c r="D22" s="2">
        <f t="shared" si="1"/>
        <v>2.2910715593642424E-4</v>
      </c>
      <c r="E22" s="4">
        <f t="shared" si="2"/>
        <v>229.10715593642425</v>
      </c>
      <c r="H22" s="13">
        <f t="shared" si="3"/>
        <v>0.22910715593642425</v>
      </c>
      <c r="I22">
        <v>16</v>
      </c>
    </row>
    <row r="23" spans="1:9" x14ac:dyDescent="0.25">
      <c r="A23" t="s">
        <v>152</v>
      </c>
      <c r="B23">
        <v>124</v>
      </c>
      <c r="C23">
        <f t="shared" si="0"/>
        <v>6.2E-2</v>
      </c>
      <c r="D23" s="2">
        <f t="shared" si="1"/>
        <v>2.2194755731341098E-4</v>
      </c>
      <c r="E23" s="4">
        <f t="shared" si="2"/>
        <v>221.94755731341098</v>
      </c>
      <c r="F23" s="4">
        <f>AVERAGE(E23:E25)</f>
        <v>245.81288605678847</v>
      </c>
      <c r="G23" s="20">
        <f>STDEV(E23:E25)/F23</f>
        <v>8.4394847818998503E-2</v>
      </c>
      <c r="H23" s="13">
        <f t="shared" si="3"/>
        <v>0.22194755731341098</v>
      </c>
      <c r="I23">
        <v>24</v>
      </c>
    </row>
    <row r="24" spans="1:9" x14ac:dyDescent="0.25">
      <c r="A24" t="s">
        <v>153</v>
      </c>
      <c r="B24">
        <v>145</v>
      </c>
      <c r="C24">
        <f t="shared" si="0"/>
        <v>7.2499999999999995E-2</v>
      </c>
      <c r="D24" s="2">
        <f t="shared" si="1"/>
        <v>2.5953545008423055E-4</v>
      </c>
      <c r="E24" s="4">
        <f t="shared" si="2"/>
        <v>259.53545008423055</v>
      </c>
      <c r="H24" s="13">
        <f t="shared" si="3"/>
        <v>0.25953545008423057</v>
      </c>
      <c r="I24">
        <v>24</v>
      </c>
    </row>
    <row r="25" spans="1:9" x14ac:dyDescent="0.25">
      <c r="A25" t="s">
        <v>154</v>
      </c>
      <c r="B25">
        <v>143</v>
      </c>
      <c r="C25">
        <f t="shared" si="0"/>
        <v>7.1499999999999994E-2</v>
      </c>
      <c r="D25" s="2">
        <f t="shared" si="1"/>
        <v>2.5595565077272394E-4</v>
      </c>
      <c r="E25" s="4">
        <f t="shared" si="2"/>
        <v>255.95565077272391</v>
      </c>
      <c r="H25" s="13">
        <f t="shared" si="3"/>
        <v>0.25595565077272392</v>
      </c>
      <c r="I25">
        <v>24</v>
      </c>
    </row>
    <row r="26" spans="1:9" x14ac:dyDescent="0.25">
      <c r="A26" t="s">
        <v>155</v>
      </c>
      <c r="B26">
        <v>125</v>
      </c>
      <c r="C26">
        <f t="shared" si="0"/>
        <v>6.25E-2</v>
      </c>
      <c r="D26" s="2">
        <f t="shared" si="1"/>
        <v>2.2373745696916428E-4</v>
      </c>
      <c r="E26" s="4">
        <f t="shared" si="2"/>
        <v>223.73745696916427</v>
      </c>
      <c r="F26" s="4">
        <f>AVERAGE(E26:E28)</f>
        <v>251.77921824263285</v>
      </c>
      <c r="G26" s="20">
        <f>STDEV(E26:E28)/F26</f>
        <v>0.24382262668233173</v>
      </c>
      <c r="H26" s="13">
        <f t="shared" si="3"/>
        <v>0.22373745696916428</v>
      </c>
      <c r="I26">
        <v>36</v>
      </c>
    </row>
    <row r="27" spans="1:9" x14ac:dyDescent="0.25">
      <c r="A27" t="s">
        <v>156</v>
      </c>
      <c r="B27">
        <v>117</v>
      </c>
      <c r="C27">
        <f t="shared" si="0"/>
        <v>5.8500000000000003E-2</v>
      </c>
      <c r="D27" s="2">
        <f t="shared" si="1"/>
        <v>2.0941825972313778E-4</v>
      </c>
      <c r="E27" s="4">
        <f t="shared" si="2"/>
        <v>209.41825972313777</v>
      </c>
      <c r="H27" s="13">
        <f t="shared" si="3"/>
        <v>0.20941825972313777</v>
      </c>
      <c r="I27">
        <v>36</v>
      </c>
    </row>
    <row r="28" spans="1:9" x14ac:dyDescent="0.25">
      <c r="A28" t="s">
        <v>157</v>
      </c>
      <c r="B28">
        <v>180</v>
      </c>
      <c r="C28">
        <f t="shared" si="0"/>
        <v>0.09</v>
      </c>
      <c r="D28" s="2">
        <f t="shared" si="1"/>
        <v>3.2218193803559657E-4</v>
      </c>
      <c r="E28" s="4">
        <f t="shared" si="2"/>
        <v>322.1819380355966</v>
      </c>
      <c r="H28" s="13">
        <f t="shared" si="3"/>
        <v>0.32218193803559658</v>
      </c>
      <c r="I28">
        <v>36</v>
      </c>
    </row>
    <row r="29" spans="1:9" x14ac:dyDescent="0.25">
      <c r="A29" t="s">
        <v>99</v>
      </c>
      <c r="B29">
        <v>7</v>
      </c>
      <c r="C29">
        <f t="shared" si="0"/>
        <v>3.5000000000000001E-3</v>
      </c>
      <c r="D29" s="2">
        <f t="shared" si="1"/>
        <v>1.2529297590273201E-5</v>
      </c>
      <c r="E29" s="4">
        <f t="shared" si="2"/>
        <v>12.529297590273201</v>
      </c>
      <c r="F29" s="4">
        <f>AVERAGE(E29:E31)</f>
        <v>12.529297590273201</v>
      </c>
    </row>
    <row r="30" spans="1:9" x14ac:dyDescent="0.25">
      <c r="A30" t="s">
        <v>100</v>
      </c>
      <c r="B30">
        <v>7</v>
      </c>
      <c r="C30">
        <f t="shared" si="0"/>
        <v>3.5000000000000001E-3</v>
      </c>
      <c r="D30" s="2">
        <f t="shared" si="1"/>
        <v>1.2529297590273201E-5</v>
      </c>
      <c r="E30" s="4">
        <f t="shared" si="2"/>
        <v>12.529297590273201</v>
      </c>
    </row>
    <row r="31" spans="1:9" x14ac:dyDescent="0.25">
      <c r="A31" t="s">
        <v>101</v>
      </c>
      <c r="B31">
        <v>7</v>
      </c>
      <c r="C31">
        <f t="shared" si="0"/>
        <v>3.5000000000000001E-3</v>
      </c>
      <c r="D31" s="2">
        <f t="shared" si="1"/>
        <v>1.2529297590273201E-5</v>
      </c>
      <c r="E31" s="4">
        <f t="shared" si="2"/>
        <v>12.529297590273201</v>
      </c>
    </row>
    <row r="32" spans="1:9" x14ac:dyDescent="0.25">
      <c r="D32" s="2"/>
      <c r="E32" s="4"/>
    </row>
    <row r="33" spans="1:5" x14ac:dyDescent="0.25">
      <c r="D33" s="2"/>
      <c r="E33" s="4"/>
    </row>
    <row r="34" spans="1:5" x14ac:dyDescent="0.25">
      <c r="A34" s="14" t="s">
        <v>164</v>
      </c>
      <c r="B34" s="14">
        <f t="array" ref="B34:C38">LINEST(E11:E28,I11:I28,TRUE,TRUE)</f>
        <v>-1.7779484005401827</v>
      </c>
      <c r="C34" s="15">
        <v>289.77053227275798</v>
      </c>
      <c r="D34" s="16" t="s">
        <v>165</v>
      </c>
      <c r="E34" s="17"/>
    </row>
    <row r="35" spans="1:5" x14ac:dyDescent="0.25">
      <c r="A35" s="14" t="s">
        <v>166</v>
      </c>
      <c r="B35" s="14">
        <v>1.2941983037413254</v>
      </c>
      <c r="C35" s="15">
        <v>25.432451090669716</v>
      </c>
      <c r="D35" s="16" t="s">
        <v>166</v>
      </c>
      <c r="E35" s="17"/>
    </row>
    <row r="36" spans="1:5" x14ac:dyDescent="0.25">
      <c r="A36" s="14" t="s">
        <v>167</v>
      </c>
      <c r="B36" s="14">
        <v>0.10550968207144291</v>
      </c>
      <c r="C36" s="15">
        <v>61.341450005625511</v>
      </c>
      <c r="D36" s="16" t="s">
        <v>168</v>
      </c>
      <c r="E36" s="17"/>
    </row>
    <row r="37" spans="1:5" x14ac:dyDescent="0.25">
      <c r="A37" s="14" t="s">
        <v>169</v>
      </c>
      <c r="B37" s="14">
        <v>1.8872813705267175</v>
      </c>
      <c r="C37" s="15">
        <v>16</v>
      </c>
      <c r="D37" s="16" t="s">
        <v>170</v>
      </c>
      <c r="E37" s="17"/>
    </row>
    <row r="38" spans="1:5" x14ac:dyDescent="0.25">
      <c r="A38" s="14" t="s">
        <v>171</v>
      </c>
      <c r="B38" s="14">
        <v>7101.4123069101988</v>
      </c>
      <c r="C38" s="15">
        <v>60204.375820682464</v>
      </c>
      <c r="D38" s="16" t="s">
        <v>172</v>
      </c>
      <c r="E38" s="17"/>
    </row>
    <row r="39" spans="1:5" x14ac:dyDescent="0.25">
      <c r="B39">
        <f>LINEST(E11:E28,I11:I28,TRUE,TRUE)</f>
        <v>-1.7779484005401827</v>
      </c>
      <c r="D39" s="2"/>
      <c r="E39" s="4"/>
    </row>
    <row r="40" spans="1:5" x14ac:dyDescent="0.25">
      <c r="D40" s="2"/>
      <c r="E40" s="4"/>
    </row>
    <row r="41" spans="1:5" x14ac:dyDescent="0.25">
      <c r="A41" s="14" t="s">
        <v>173</v>
      </c>
      <c r="B41" s="14">
        <f>B34/B35</f>
        <v>-1.3737835966871623</v>
      </c>
      <c r="D41" s="2"/>
      <c r="E41" s="4"/>
    </row>
    <row r="42" spans="1:5" x14ac:dyDescent="0.25">
      <c r="A42" s="14" t="s">
        <v>174</v>
      </c>
      <c r="B42" s="14">
        <f>TDIST(ABS(B41),C37,2)</f>
        <v>0.18845144554640605</v>
      </c>
      <c r="C42" t="s">
        <v>190</v>
      </c>
      <c r="D42" s="2"/>
      <c r="E42" s="4"/>
    </row>
    <row r="43" spans="1:5" x14ac:dyDescent="0.25">
      <c r="D43" s="2"/>
      <c r="E43" s="4"/>
    </row>
  </sheetData>
  <pageMargins left="0.75" right="0.75" top="1" bottom="1" header="0.5" footer="0.5"/>
  <pageSetup orientation="portrait" horizontalDpi="4294967292" verticalDpi="4294967292"/>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CC"/>
  </sheetPr>
  <dimension ref="A1:F24"/>
  <sheetViews>
    <sheetView workbookViewId="0">
      <selection activeCell="C27" sqref="C27"/>
    </sheetView>
  </sheetViews>
  <sheetFormatPr defaultColWidth="11" defaultRowHeight="15.75" x14ac:dyDescent="0.25"/>
  <cols>
    <col min="2" max="2" width="15.5" customWidth="1"/>
    <col min="3" max="3" width="21" customWidth="1"/>
    <col min="4" max="4" width="17.625" customWidth="1"/>
    <col min="5" max="5" width="7.5" customWidth="1"/>
    <col min="6" max="6" width="21.625" customWidth="1"/>
  </cols>
  <sheetData>
    <row r="1" spans="1:6" x14ac:dyDescent="0.25">
      <c r="A1" s="24" t="s">
        <v>198</v>
      </c>
      <c r="B1" s="24"/>
      <c r="C1" s="25"/>
      <c r="D1" s="25"/>
      <c r="E1" s="25"/>
      <c r="F1" s="25"/>
    </row>
    <row r="2" spans="1:6" x14ac:dyDescent="0.25">
      <c r="A2" s="25"/>
      <c r="B2" s="25"/>
      <c r="C2" s="25"/>
      <c r="D2" s="25"/>
      <c r="E2" s="25"/>
      <c r="F2" s="25"/>
    </row>
    <row r="3" spans="1:6" x14ac:dyDescent="0.25">
      <c r="A3" s="25" t="s">
        <v>75</v>
      </c>
      <c r="B3" s="25" t="s">
        <v>76</v>
      </c>
      <c r="C3" s="25" t="s">
        <v>77</v>
      </c>
      <c r="D3" s="25" t="s">
        <v>78</v>
      </c>
      <c r="E3" s="25" t="s">
        <v>79</v>
      </c>
      <c r="F3" s="25" t="s">
        <v>80</v>
      </c>
    </row>
    <row r="4" spans="1:6" x14ac:dyDescent="0.25">
      <c r="A4" s="25" t="s">
        <v>81</v>
      </c>
      <c r="B4" s="25">
        <v>4.7699999999999999E-2</v>
      </c>
      <c r="C4" s="25">
        <v>4.8800000000000003E-2</v>
      </c>
      <c r="D4" s="25">
        <f>C4-B4</f>
        <v>1.1000000000000038E-3</v>
      </c>
      <c r="E4" s="25">
        <v>15</v>
      </c>
      <c r="F4" s="26">
        <f>D4/E4</f>
        <v>7.3333333333333589E-5</v>
      </c>
    </row>
    <row r="5" spans="1:6" x14ac:dyDescent="0.25">
      <c r="A5" s="25" t="s">
        <v>82</v>
      </c>
      <c r="B5" s="25">
        <v>4.4810000000000003E-2</v>
      </c>
      <c r="C5" s="25">
        <v>4.5719999999999997E-2</v>
      </c>
      <c r="D5" s="25">
        <f t="shared" ref="D5:D24" si="0">C5-B5</f>
        <v>9.0999999999999415E-4</v>
      </c>
      <c r="E5" s="25">
        <v>15</v>
      </c>
      <c r="F5" s="26">
        <f>D5/E5</f>
        <v>6.0666666666666273E-5</v>
      </c>
    </row>
    <row r="6" spans="1:6" x14ac:dyDescent="0.25">
      <c r="A6" s="25" t="s">
        <v>83</v>
      </c>
      <c r="B6" s="25">
        <v>4.6920000000000003E-2</v>
      </c>
      <c r="C6" s="25">
        <v>4.7919999999999997E-2</v>
      </c>
      <c r="D6" s="25">
        <f t="shared" si="0"/>
        <v>9.9999999999999395E-4</v>
      </c>
      <c r="E6" s="25">
        <v>15</v>
      </c>
      <c r="F6" s="26">
        <f t="shared" ref="F6:F24" si="1">D6/E6</f>
        <v>6.6666666666666263E-5</v>
      </c>
    </row>
    <row r="7" spans="1:6" x14ac:dyDescent="0.25">
      <c r="A7" s="25" t="s">
        <v>84</v>
      </c>
      <c r="B7" s="25">
        <v>4.3709999999999999E-2</v>
      </c>
      <c r="C7" s="25">
        <v>4.4819999999999999E-2</v>
      </c>
      <c r="D7" s="25">
        <f t="shared" si="0"/>
        <v>1.1099999999999999E-3</v>
      </c>
      <c r="E7" s="25">
        <v>14</v>
      </c>
      <c r="F7" s="26">
        <f t="shared" si="1"/>
        <v>7.9285714285714273E-5</v>
      </c>
    </row>
    <row r="8" spans="1:6" x14ac:dyDescent="0.25">
      <c r="A8" s="25" t="s">
        <v>85</v>
      </c>
      <c r="B8" s="25">
        <v>5.5919999999999997E-2</v>
      </c>
      <c r="C8" s="25">
        <v>5.7020000000000001E-2</v>
      </c>
      <c r="D8" s="25">
        <f t="shared" si="0"/>
        <v>1.1000000000000038E-3</v>
      </c>
      <c r="E8" s="25">
        <v>15</v>
      </c>
      <c r="F8" s="26">
        <f t="shared" si="1"/>
        <v>7.3333333333333589E-5</v>
      </c>
    </row>
    <row r="9" spans="1:6" x14ac:dyDescent="0.25">
      <c r="A9" s="25" t="s">
        <v>86</v>
      </c>
      <c r="B9" s="25">
        <v>4.9680000000000002E-2</v>
      </c>
      <c r="C9" s="25">
        <v>5.0959999999999998E-2</v>
      </c>
      <c r="D9" s="25">
        <f t="shared" si="0"/>
        <v>1.2799999999999964E-3</v>
      </c>
      <c r="E9" s="25">
        <v>15</v>
      </c>
      <c r="F9" s="26">
        <f t="shared" si="1"/>
        <v>8.5333333333333095E-5</v>
      </c>
    </row>
    <row r="10" spans="1:6" x14ac:dyDescent="0.25">
      <c r="A10" s="25" t="s">
        <v>87</v>
      </c>
      <c r="B10" s="25">
        <v>4.5409999999999999E-2</v>
      </c>
      <c r="C10" s="25">
        <v>4.6600000000000003E-2</v>
      </c>
      <c r="D10" s="25">
        <f t="shared" si="0"/>
        <v>1.1900000000000036E-3</v>
      </c>
      <c r="E10" s="25">
        <v>17</v>
      </c>
      <c r="F10" s="26">
        <f t="shared" si="1"/>
        <v>7.0000000000000211E-5</v>
      </c>
    </row>
    <row r="11" spans="1:6" x14ac:dyDescent="0.25">
      <c r="A11" s="25" t="s">
        <v>88</v>
      </c>
      <c r="B11" s="25">
        <v>4.5690000000000001E-2</v>
      </c>
      <c r="C11" s="25">
        <v>4.6809999999999997E-2</v>
      </c>
      <c r="D11" s="25">
        <f t="shared" si="0"/>
        <v>1.119999999999996E-3</v>
      </c>
      <c r="E11" s="25">
        <v>16</v>
      </c>
      <c r="F11" s="26">
        <f t="shared" si="1"/>
        <v>6.999999999999975E-5</v>
      </c>
    </row>
    <row r="12" spans="1:6" x14ac:dyDescent="0.25">
      <c r="A12" s="25" t="s">
        <v>89</v>
      </c>
      <c r="B12" s="25">
        <v>5.0340000000000003E-2</v>
      </c>
      <c r="C12" s="25">
        <v>5.1740000000000001E-2</v>
      </c>
      <c r="D12" s="25">
        <f t="shared" si="0"/>
        <v>1.3999999999999985E-3</v>
      </c>
      <c r="E12" s="25">
        <v>16</v>
      </c>
      <c r="F12" s="26">
        <f t="shared" si="1"/>
        <v>8.7499999999999904E-5</v>
      </c>
    </row>
    <row r="13" spans="1:6" x14ac:dyDescent="0.25">
      <c r="A13" s="25" t="s">
        <v>177</v>
      </c>
      <c r="B13" s="25">
        <v>4.5170000000000002E-2</v>
      </c>
      <c r="C13" s="25">
        <v>4.641E-2</v>
      </c>
      <c r="D13" s="25">
        <f t="shared" si="0"/>
        <v>1.239999999999998E-3</v>
      </c>
      <c r="E13" s="25">
        <v>15</v>
      </c>
      <c r="F13" s="26">
        <f t="shared" si="1"/>
        <v>8.266666666666653E-5</v>
      </c>
    </row>
    <row r="14" spans="1:6" x14ac:dyDescent="0.25">
      <c r="A14" s="25" t="s">
        <v>178</v>
      </c>
      <c r="B14" s="25">
        <v>5.9490000000000001E-2</v>
      </c>
      <c r="C14" s="25">
        <v>6.087E-2</v>
      </c>
      <c r="D14" s="25">
        <f t="shared" si="0"/>
        <v>1.3799999999999993E-3</v>
      </c>
      <c r="E14" s="25">
        <v>15</v>
      </c>
      <c r="F14" s="26">
        <f t="shared" si="1"/>
        <v>9.1999999999999946E-5</v>
      </c>
    </row>
    <row r="15" spans="1:6" x14ac:dyDescent="0.25">
      <c r="A15" s="25" t="s">
        <v>179</v>
      </c>
      <c r="B15" s="25">
        <v>4.965E-2</v>
      </c>
      <c r="C15" s="25">
        <v>5.0889999999999998E-2</v>
      </c>
      <c r="D15" s="25">
        <f t="shared" si="0"/>
        <v>1.239999999999998E-3</v>
      </c>
      <c r="E15" s="25">
        <v>16</v>
      </c>
      <c r="F15" s="26">
        <f t="shared" si="1"/>
        <v>7.7499999999999878E-5</v>
      </c>
    </row>
    <row r="16" spans="1:6" x14ac:dyDescent="0.25">
      <c r="A16" s="25" t="s">
        <v>90</v>
      </c>
      <c r="B16" s="25">
        <v>4.4690000000000001E-2</v>
      </c>
      <c r="C16" s="25">
        <v>4.6019999999999998E-2</v>
      </c>
      <c r="D16" s="25">
        <f t="shared" si="0"/>
        <v>1.3299999999999979E-3</v>
      </c>
      <c r="E16" s="25">
        <v>15</v>
      </c>
      <c r="F16" s="26">
        <f t="shared" si="1"/>
        <v>8.8666666666666527E-5</v>
      </c>
    </row>
    <row r="17" spans="1:6" x14ac:dyDescent="0.25">
      <c r="A17" s="25" t="s">
        <v>91</v>
      </c>
      <c r="B17" s="25">
        <v>5.0319999999999997E-2</v>
      </c>
      <c r="C17" s="25">
        <v>5.1479999999999998E-2</v>
      </c>
      <c r="D17" s="25">
        <f t="shared" si="0"/>
        <v>1.1600000000000013E-3</v>
      </c>
      <c r="E17" s="25">
        <v>16</v>
      </c>
      <c r="F17" s="26">
        <f t="shared" si="1"/>
        <v>7.2500000000000082E-5</v>
      </c>
    </row>
    <row r="18" spans="1:6" x14ac:dyDescent="0.25">
      <c r="A18" s="25" t="s">
        <v>92</v>
      </c>
      <c r="B18" s="25">
        <v>4.6940000000000003E-2</v>
      </c>
      <c r="C18" s="25">
        <v>4.8090000000000001E-2</v>
      </c>
      <c r="D18" s="25">
        <f t="shared" si="0"/>
        <v>1.1499999999999982E-3</v>
      </c>
      <c r="E18" s="25">
        <v>15</v>
      </c>
      <c r="F18" s="26">
        <f t="shared" si="1"/>
        <v>7.6666666666666547E-5</v>
      </c>
    </row>
    <row r="19" spans="1:6" x14ac:dyDescent="0.25">
      <c r="A19" s="25" t="s">
        <v>93</v>
      </c>
      <c r="B19" s="25">
        <v>4.2930000000000003E-2</v>
      </c>
      <c r="C19" s="25">
        <v>4.4019999999999997E-2</v>
      </c>
      <c r="D19" s="25">
        <f t="shared" si="0"/>
        <v>1.0899999999999938E-3</v>
      </c>
      <c r="E19" s="25">
        <v>15</v>
      </c>
      <c r="F19" s="26">
        <f t="shared" si="1"/>
        <v>7.2666666666666246E-5</v>
      </c>
    </row>
    <row r="20" spans="1:6" x14ac:dyDescent="0.25">
      <c r="A20" s="25" t="s">
        <v>94</v>
      </c>
      <c r="B20" s="25">
        <v>4.2160000000000003E-2</v>
      </c>
      <c r="C20" s="25">
        <v>4.326E-2</v>
      </c>
      <c r="D20" s="25">
        <f t="shared" si="0"/>
        <v>1.0999999999999968E-3</v>
      </c>
      <c r="E20" s="25">
        <v>15</v>
      </c>
      <c r="F20" s="26">
        <f t="shared" si="1"/>
        <v>7.3333333333333115E-5</v>
      </c>
    </row>
    <row r="21" spans="1:6" x14ac:dyDescent="0.25">
      <c r="A21" s="25" t="s">
        <v>95</v>
      </c>
      <c r="B21" s="25">
        <v>3.8800000000000001E-2</v>
      </c>
      <c r="C21" s="25">
        <v>3.9960000000000002E-2</v>
      </c>
      <c r="D21" s="25">
        <f t="shared" si="0"/>
        <v>1.1600000000000013E-3</v>
      </c>
      <c r="E21" s="25">
        <v>15</v>
      </c>
      <c r="F21" s="26">
        <f t="shared" si="1"/>
        <v>7.7333333333333415E-5</v>
      </c>
    </row>
    <row r="22" spans="1:6" x14ac:dyDescent="0.25">
      <c r="A22" s="25" t="s">
        <v>99</v>
      </c>
      <c r="B22" s="25">
        <v>6.012E-2</v>
      </c>
      <c r="C22" s="25">
        <v>6.1530000000000001E-2</v>
      </c>
      <c r="D22" s="25">
        <f t="shared" si="0"/>
        <v>1.4100000000000015E-3</v>
      </c>
      <c r="E22" s="25">
        <v>18</v>
      </c>
      <c r="F22" s="26">
        <f t="shared" si="1"/>
        <v>7.8333333333333412E-5</v>
      </c>
    </row>
    <row r="23" spans="1:6" x14ac:dyDescent="0.25">
      <c r="A23" s="25" t="s">
        <v>100</v>
      </c>
      <c r="B23" s="25">
        <v>4.7890000000000002E-2</v>
      </c>
      <c r="C23" s="25">
        <v>4.9180000000000001E-2</v>
      </c>
      <c r="D23" s="25">
        <f t="shared" si="0"/>
        <v>1.2899999999999995E-3</v>
      </c>
      <c r="E23" s="25">
        <v>16</v>
      </c>
      <c r="F23" s="26">
        <f t="shared" si="1"/>
        <v>8.0624999999999968E-5</v>
      </c>
    </row>
    <row r="24" spans="1:6" x14ac:dyDescent="0.25">
      <c r="A24" s="25" t="s">
        <v>101</v>
      </c>
      <c r="B24" s="25">
        <v>5.5590000000000001E-2</v>
      </c>
      <c r="C24" s="25">
        <v>5.6680000000000001E-2</v>
      </c>
      <c r="D24" s="25">
        <f t="shared" si="0"/>
        <v>1.0900000000000007E-3</v>
      </c>
      <c r="E24" s="25">
        <v>16</v>
      </c>
      <c r="F24" s="26">
        <f t="shared" si="1"/>
        <v>6.8125000000000043E-5</v>
      </c>
    </row>
  </sheetData>
  <pageMargins left="0.75" right="0.75" top="1" bottom="1" header="0.5" footer="0.5"/>
  <pageSetup orientation="portrait" horizontalDpi="4294967292" verticalDpi="429496729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CC"/>
  </sheetPr>
  <dimension ref="A1:O52"/>
  <sheetViews>
    <sheetView topLeftCell="I24" workbookViewId="0">
      <selection activeCell="C27" sqref="C27"/>
    </sheetView>
  </sheetViews>
  <sheetFormatPr defaultColWidth="11" defaultRowHeight="15.75" x14ac:dyDescent="0.25"/>
  <cols>
    <col min="1" max="1" width="12.625" customWidth="1"/>
    <col min="2" max="2" width="23.375" customWidth="1"/>
    <col min="3" max="3" width="11.125" customWidth="1"/>
    <col min="5" max="5" width="16.5" customWidth="1"/>
  </cols>
  <sheetData>
    <row r="1" spans="1:10" x14ac:dyDescent="0.25">
      <c r="D1" t="s">
        <v>102</v>
      </c>
      <c r="E1">
        <v>22</v>
      </c>
      <c r="F1">
        <v>21</v>
      </c>
    </row>
    <row r="3" spans="1:10" x14ac:dyDescent="0.25">
      <c r="A3" t="s">
        <v>75</v>
      </c>
      <c r="B3" t="s">
        <v>103</v>
      </c>
      <c r="C3" t="s">
        <v>104</v>
      </c>
      <c r="D3" t="s">
        <v>105</v>
      </c>
      <c r="E3" t="s">
        <v>106</v>
      </c>
    </row>
    <row r="4" spans="1:10" x14ac:dyDescent="0.25">
      <c r="A4" t="s">
        <v>108</v>
      </c>
      <c r="B4">
        <v>0</v>
      </c>
      <c r="D4">
        <v>0</v>
      </c>
      <c r="E4">
        <v>0</v>
      </c>
      <c r="G4">
        <v>0</v>
      </c>
    </row>
    <row r="5" spans="1:10" x14ac:dyDescent="0.25">
      <c r="A5" t="s">
        <v>109</v>
      </c>
      <c r="B5">
        <v>0</v>
      </c>
      <c r="D5">
        <v>0</v>
      </c>
      <c r="E5">
        <v>0</v>
      </c>
      <c r="G5">
        <v>0</v>
      </c>
    </row>
    <row r="6" spans="1:10" x14ac:dyDescent="0.25">
      <c r="A6" t="s">
        <v>81</v>
      </c>
      <c r="B6">
        <v>806</v>
      </c>
      <c r="C6" s="4">
        <f>(B6*391)/(2220000*49.2)*1000/'Esc Masses 1.0 18'!D4</f>
        <v>2623.0165864312116</v>
      </c>
      <c r="D6" s="5">
        <f>(B6*391)/(2220000*49.2)*1000/'Esc Masses 6.0 18'!E4</f>
        <v>0.19235454967162285</v>
      </c>
      <c r="E6" s="4">
        <f>AVERAGE(C6:C8)</f>
        <v>2367.5216723997273</v>
      </c>
      <c r="F6" s="20">
        <f>STDEV(C6:C8)/E6</f>
        <v>0.10642570880433688</v>
      </c>
      <c r="G6">
        <v>3</v>
      </c>
      <c r="I6" t="s">
        <v>110</v>
      </c>
      <c r="J6" t="s">
        <v>106</v>
      </c>
    </row>
    <row r="7" spans="1:10" x14ac:dyDescent="0.25">
      <c r="A7" t="s">
        <v>82</v>
      </c>
      <c r="B7">
        <v>600</v>
      </c>
      <c r="C7" s="4">
        <f>(B7*391)/(2220000*49.2)*1000/'Esc Masses 1.0 18'!D5</f>
        <v>2360.3072383560343</v>
      </c>
      <c r="D7" s="5">
        <f>(B7*391)/(2220000*49.2)*1000/'Esc Masses 6.0 18'!E5</f>
        <v>0.13424247418149859</v>
      </c>
      <c r="G7">
        <v>3</v>
      </c>
      <c r="I7">
        <v>3</v>
      </c>
    </row>
    <row r="8" spans="1:10" x14ac:dyDescent="0.25">
      <c r="A8" t="s">
        <v>83</v>
      </c>
      <c r="B8">
        <v>592</v>
      </c>
      <c r="C8" s="4">
        <f>(B8*391)/(2220000*49.2)*1000/'Esc Masses 1.0 18'!D6</f>
        <v>2119.2411924119365</v>
      </c>
      <c r="D8" s="5">
        <f>(B8*391)/(2220000*49.2)*1000/'Esc Masses 6.0 18'!E6</f>
        <v>0.13245257452574524</v>
      </c>
      <c r="G8">
        <v>3</v>
      </c>
      <c r="I8">
        <v>6</v>
      </c>
    </row>
    <row r="9" spans="1:10" x14ac:dyDescent="0.25">
      <c r="A9" t="s">
        <v>84</v>
      </c>
      <c r="B9">
        <v>735</v>
      </c>
      <c r="C9" s="4">
        <f>(B9*391)/(2220000*49.2)*1000/'Esc Masses 1.0 18'!D7</f>
        <v>2370.4076522138489</v>
      </c>
      <c r="D9" s="5">
        <f>(B9*391)/(2220000*49.2)*1000/'Esc Masses 6.0 18'!E7</f>
        <v>0.18793946385409802</v>
      </c>
      <c r="E9" s="4">
        <f>AVERAGE(C9:C11)</f>
        <v>2074.3719372669398</v>
      </c>
      <c r="F9" s="20">
        <f>STDEV(C9:C11)/E9</f>
        <v>0.12550856239794708</v>
      </c>
      <c r="G9">
        <v>6</v>
      </c>
      <c r="I9">
        <v>12</v>
      </c>
    </row>
    <row r="10" spans="1:10" x14ac:dyDescent="0.25">
      <c r="A10" t="s">
        <v>85</v>
      </c>
      <c r="B10">
        <v>578</v>
      </c>
      <c r="C10" s="4">
        <f>(B10*391)/(2220000*49.2)*1000/'Esc Masses 1.0 18'!D8</f>
        <v>1881.0218200462036</v>
      </c>
      <c r="D10" s="5">
        <f>(B10*391)/(2220000*49.2)*1000/'Esc Masses 6.0 18'!E8</f>
        <v>0.14779457157505935</v>
      </c>
      <c r="G10">
        <v>6</v>
      </c>
      <c r="I10">
        <v>16</v>
      </c>
    </row>
    <row r="11" spans="1:10" x14ac:dyDescent="0.25">
      <c r="A11" t="s">
        <v>86</v>
      </c>
      <c r="B11">
        <v>705</v>
      </c>
      <c r="C11" s="4">
        <f>(B11*391)/(2220000*49.2)*1000/'Esc Masses 1.0 18'!D9</f>
        <v>1971.6863395407659</v>
      </c>
      <c r="D11" s="5">
        <f>(B11*391)/(2220000*49.2)*1000/'Esc Masses 6.0 18'!E9</f>
        <v>0.15773490716326083</v>
      </c>
      <c r="G11">
        <v>6</v>
      </c>
      <c r="I11">
        <v>24</v>
      </c>
    </row>
    <row r="12" spans="1:10" x14ac:dyDescent="0.25">
      <c r="A12" t="s">
        <v>87</v>
      </c>
      <c r="B12">
        <v>890</v>
      </c>
      <c r="C12" s="4">
        <f>(B12*391)/(2220000*49.2)*1000/'Esc Masses 1.0 18'!D10</f>
        <v>2677.3288968410839</v>
      </c>
      <c r="D12" s="5">
        <f>(B12*391)/(2220000*49.2)*1000/'Esc Masses 6.0 18'!E10</f>
        <v>0.22757295623149279</v>
      </c>
      <c r="E12" s="4">
        <f>AVERAGE(C12:C14)</f>
        <v>2655.2810432383612</v>
      </c>
      <c r="F12" s="20">
        <f>STDEV(C12:C14)/E12</f>
        <v>0.17625288938102809</v>
      </c>
      <c r="G12">
        <v>12</v>
      </c>
      <c r="I12">
        <v>36</v>
      </c>
    </row>
    <row r="13" spans="1:10" x14ac:dyDescent="0.25">
      <c r="A13" t="s">
        <v>88</v>
      </c>
      <c r="B13">
        <v>681</v>
      </c>
      <c r="C13" s="4">
        <f>(B13*391)/(2220000*49.2)*1000/'Esc Masses 1.0 18'!D11</f>
        <v>2176.6458313714484</v>
      </c>
      <c r="D13" s="5">
        <f>(B13*391)/(2220000*49.2)*1000/'Esc Masses 6.0 18'!E11</f>
        <v>0.17413166650971526</v>
      </c>
      <c r="G13">
        <v>12</v>
      </c>
    </row>
    <row r="14" spans="1:10" x14ac:dyDescent="0.25">
      <c r="A14" t="s">
        <v>89</v>
      </c>
      <c r="B14">
        <v>1217</v>
      </c>
      <c r="C14" s="4">
        <f>(B14*391)/(2220000*49.2)*1000/'Esc Masses 1.0 18'!D12</f>
        <v>3111.8684015025515</v>
      </c>
      <c r="D14" s="5">
        <f>(B14*391)/(2220000*49.2)*1000/'Esc Masses 6.0 18'!E12</f>
        <v>0.29044105080690452</v>
      </c>
      <c r="G14">
        <v>12</v>
      </c>
    </row>
    <row r="15" spans="1:10" x14ac:dyDescent="0.25">
      <c r="A15" t="s">
        <v>177</v>
      </c>
      <c r="B15">
        <v>1014</v>
      </c>
      <c r="C15" s="4">
        <f>(B15*391)/(2220000*49.2)*1000/'Esc Masses 1.0 18'!D13</f>
        <v>2927.3520176352636</v>
      </c>
      <c r="D15" s="5">
        <f>(B15*391)/(2220000*49.2)*1000/'Esc Masses 6.0 18'!E13</f>
        <v>0.25927975013340865</v>
      </c>
      <c r="E15" s="4">
        <f>AVERAGE(C15:C17)</f>
        <v>3355.6504314437739</v>
      </c>
      <c r="F15" s="20">
        <f>STDEV(C15:C17)/E15</f>
        <v>0.18022784094223471</v>
      </c>
      <c r="G15">
        <v>16</v>
      </c>
    </row>
    <row r="16" spans="1:10" x14ac:dyDescent="0.25">
      <c r="A16" t="s">
        <v>178</v>
      </c>
      <c r="B16">
        <v>1192</v>
      </c>
      <c r="C16" s="4">
        <f>(B16*391)/(2220000*49.2)*1000/'Esc Masses 1.0 18'!D14</f>
        <v>3092.1165067506545</v>
      </c>
      <c r="D16" s="5">
        <f>(B16*391)/(2220000*49.2)*1000/'Esc Masses 6.0 18'!E14</f>
        <v>0.30479434137970723</v>
      </c>
      <c r="G16">
        <v>16</v>
      </c>
    </row>
    <row r="17" spans="1:15" x14ac:dyDescent="0.25">
      <c r="A17" t="s">
        <v>179</v>
      </c>
      <c r="B17">
        <v>1402</v>
      </c>
      <c r="C17" s="4">
        <f>(B17*391)/(2220000*49.2)*1000/'Esc Masses 1.0 18'!D15</f>
        <v>4047.482769945404</v>
      </c>
      <c r="D17" s="5">
        <f>(B17*391)/(2220000*49.2)*1000/'Esc Masses 6.0 18'!E15</f>
        <v>0.3860675872870995</v>
      </c>
      <c r="G17">
        <v>16</v>
      </c>
    </row>
    <row r="18" spans="1:15" x14ac:dyDescent="0.25">
      <c r="A18" t="s">
        <v>90</v>
      </c>
      <c r="B18">
        <v>1018</v>
      </c>
      <c r="C18" s="4">
        <f>(B18*391)/(2220000*49.2)*1000/'Esc Masses 1.0 18'!D16</f>
        <v>2740.0268414389125</v>
      </c>
      <c r="D18" s="5">
        <f>(B18*391)/(2220000*49.2)*1000/'Esc Masses 6.0 18'!E16</f>
        <v>0.26030254993669627</v>
      </c>
      <c r="E18" s="4">
        <f>AVERAGE(C18:C20)</f>
        <v>3151.0209810473207</v>
      </c>
      <c r="F18" s="20">
        <f>STDEV(C18:C20)/E18</f>
        <v>0.11332821026259739</v>
      </c>
      <c r="G18">
        <v>24</v>
      </c>
      <c r="O18" t="s">
        <v>111</v>
      </c>
    </row>
    <row r="19" spans="1:15" x14ac:dyDescent="0.25">
      <c r="A19" t="s">
        <v>91</v>
      </c>
      <c r="B19">
        <v>1097</v>
      </c>
      <c r="C19" s="4">
        <f>(B19*391)/(2220000*49.2)*1000/'Esc Masses 1.0 18'!D17</f>
        <v>3385.3791764851435</v>
      </c>
      <c r="D19" s="5">
        <f>(B19*391)/(2220000*49.2)*1000/'Esc Masses 6.0 18'!E17</f>
        <v>0.28050284605162651</v>
      </c>
      <c r="G19">
        <v>24</v>
      </c>
    </row>
    <row r="20" spans="1:15" x14ac:dyDescent="0.25">
      <c r="A20" t="s">
        <v>92</v>
      </c>
      <c r="B20">
        <v>1069</v>
      </c>
      <c r="C20" s="4">
        <f>(B20*391)/(2220000*49.2)*1000/'Esc Masses 1.0 18'!D18</f>
        <v>3327.6569252179056</v>
      </c>
      <c r="D20" s="5">
        <f>(B20*391)/(2220000*49.2)*1000/'Esc Masses 6.0 18'!E18</f>
        <v>0.22510620376474033</v>
      </c>
      <c r="G20">
        <v>24</v>
      </c>
    </row>
    <row r="21" spans="1:15" x14ac:dyDescent="0.25">
      <c r="A21" t="s">
        <v>93</v>
      </c>
      <c r="B21">
        <v>1797</v>
      </c>
      <c r="C21" s="4">
        <f>(B21*391)/(2220000*49.2)*1000/'Esc Masses 1.0 18'!D19</f>
        <v>5901.7425346582086</v>
      </c>
      <c r="D21" s="5">
        <f>(B21*391)/(2220000*49.2)*1000/'Esc Masses 6.0 18'!E19</f>
        <v>0.42885995751849404</v>
      </c>
      <c r="E21" s="4">
        <f>AVERAGE(C21:C23)</f>
        <v>5581.2737443762817</v>
      </c>
      <c r="F21" s="20">
        <f>STDEV(C21:C23)/E21</f>
        <v>7.62889970021257E-2</v>
      </c>
      <c r="G21">
        <v>36</v>
      </c>
    </row>
    <row r="22" spans="1:15" x14ac:dyDescent="0.25">
      <c r="A22" t="s">
        <v>94</v>
      </c>
      <c r="B22">
        <v>1765</v>
      </c>
      <c r="C22" s="4">
        <f>(B22*391)/(2220000*49.2)*1000/'Esc Masses 1.0 18'!D20</f>
        <v>5743.9507134629257</v>
      </c>
      <c r="D22" s="5">
        <f>(B22*391)/(2220000*49.2)*1000/'Esc Masses 6.0 18'!E20</f>
        <v>0.45131041320065712</v>
      </c>
      <c r="G22">
        <v>36</v>
      </c>
    </row>
    <row r="23" spans="1:15" x14ac:dyDescent="0.25">
      <c r="A23" t="s">
        <v>95</v>
      </c>
      <c r="B23">
        <v>1652</v>
      </c>
      <c r="C23" s="4">
        <f>(B23*391)/(2220000*49.2)*1000/'Esc Masses 1.0 18'!D21</f>
        <v>5098.1279850077108</v>
      </c>
      <c r="D23" s="5">
        <f>(B23*391)/(2220000*49.2)*1000/'Esc Masses 6.0 18'!E21</f>
        <v>0.42241631875778218</v>
      </c>
      <c r="G23">
        <v>36</v>
      </c>
    </row>
    <row r="24" spans="1:15" x14ac:dyDescent="0.25">
      <c r="A24" t="s">
        <v>99</v>
      </c>
      <c r="B24">
        <v>0</v>
      </c>
      <c r="C24" s="4">
        <f>(B24*391)/(2220000*49.2)*1000/'Esc Masses 1.0 18'!D22</f>
        <v>0</v>
      </c>
      <c r="D24" s="5">
        <f>(B24*391)/(2220000*49.2)*1000/'Esc Masses 6.0 18'!E22</f>
        <v>0</v>
      </c>
      <c r="E24" s="4">
        <f>AVERAGE(C24:C25)</f>
        <v>4.1625573389611983</v>
      </c>
      <c r="F24" s="20">
        <f>STDEV(C24:C26)/E24</f>
        <v>1.1547005383792517</v>
      </c>
    </row>
    <row r="25" spans="1:15" x14ac:dyDescent="0.25">
      <c r="A25" t="s">
        <v>100</v>
      </c>
      <c r="B25">
        <v>3</v>
      </c>
      <c r="C25" s="4">
        <f>(B25*391)/(2220000*49.2)*1000/'Esc Masses 1.0 18'!D23</f>
        <v>8.3251146779223966</v>
      </c>
      <c r="D25" s="5">
        <f>(B25*391)/(2220000*10.9)*1000/'Esc Masses 6.0 18'!E23</f>
        <v>3.2316720390114886E-3</v>
      </c>
    </row>
    <row r="26" spans="1:15" x14ac:dyDescent="0.25">
      <c r="A26" t="s">
        <v>101</v>
      </c>
      <c r="B26">
        <v>0</v>
      </c>
      <c r="C26" s="4">
        <f>(B26*391)/(2220000*49.2)*1000/'Esc Masses 1.0 18'!D24</f>
        <v>0</v>
      </c>
      <c r="D26" s="5">
        <f>(B26*391)/(2220000*10.9)*1000/'Esc Masses 6.0 18'!E24</f>
        <v>0</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0</v>
      </c>
      <c r="C32">
        <v>0</v>
      </c>
      <c r="D32">
        <v>2</v>
      </c>
      <c r="E32">
        <v>0</v>
      </c>
      <c r="F32">
        <v>0</v>
      </c>
      <c r="G32" s="21">
        <f t="shared" ref="G32:G38" si="0">(E32)/(SUM(B32+C32+D32+E32+F32))</f>
        <v>0</v>
      </c>
      <c r="I32" t="s">
        <v>102</v>
      </c>
      <c r="J32">
        <v>21</v>
      </c>
      <c r="L32">
        <v>0</v>
      </c>
      <c r="M32">
        <v>0</v>
      </c>
      <c r="N32">
        <v>0</v>
      </c>
      <c r="O32">
        <v>0</v>
      </c>
    </row>
    <row r="33" spans="1:15" x14ac:dyDescent="0.25">
      <c r="A33" t="s">
        <v>123</v>
      </c>
      <c r="B33">
        <v>103</v>
      </c>
      <c r="C33">
        <v>5</v>
      </c>
      <c r="D33">
        <v>29</v>
      </c>
      <c r="E33">
        <v>1296</v>
      </c>
      <c r="F33">
        <v>1</v>
      </c>
      <c r="G33" s="21">
        <f t="shared" si="0"/>
        <v>0.90376569037656906</v>
      </c>
      <c r="L33">
        <v>0</v>
      </c>
      <c r="M33">
        <v>0</v>
      </c>
      <c r="N33">
        <v>0</v>
      </c>
      <c r="O33">
        <v>0</v>
      </c>
    </row>
    <row r="34" spans="1:15" x14ac:dyDescent="0.25">
      <c r="A34" t="s">
        <v>124</v>
      </c>
      <c r="B34">
        <v>242</v>
      </c>
      <c r="C34">
        <v>15</v>
      </c>
      <c r="D34">
        <v>41</v>
      </c>
      <c r="E34">
        <v>1041</v>
      </c>
      <c r="F34">
        <v>1</v>
      </c>
      <c r="G34" s="21">
        <f t="shared" si="0"/>
        <v>0.7768656716417911</v>
      </c>
      <c r="L34">
        <v>0</v>
      </c>
      <c r="M34">
        <v>0</v>
      </c>
      <c r="N34">
        <v>0</v>
      </c>
      <c r="O34">
        <v>0</v>
      </c>
    </row>
    <row r="35" spans="1:15" x14ac:dyDescent="0.25">
      <c r="A35" t="s">
        <v>125</v>
      </c>
      <c r="B35">
        <v>293</v>
      </c>
      <c r="C35">
        <v>18</v>
      </c>
      <c r="D35">
        <v>36</v>
      </c>
      <c r="E35">
        <v>803</v>
      </c>
      <c r="F35">
        <v>3</v>
      </c>
      <c r="G35" s="21">
        <f t="shared" si="0"/>
        <v>0.69644405897658279</v>
      </c>
      <c r="L35">
        <v>3</v>
      </c>
      <c r="M35">
        <v>2623</v>
      </c>
      <c r="N35" s="4">
        <f>M35*0.9</f>
        <v>2360.7000000000003</v>
      </c>
      <c r="O35" s="4">
        <f>M35-N35</f>
        <v>262.29999999999973</v>
      </c>
    </row>
    <row r="36" spans="1:15" x14ac:dyDescent="0.25">
      <c r="A36" t="s">
        <v>180</v>
      </c>
      <c r="B36">
        <v>813</v>
      </c>
      <c r="C36">
        <v>52</v>
      </c>
      <c r="D36">
        <v>75</v>
      </c>
      <c r="E36">
        <v>1607</v>
      </c>
      <c r="F36">
        <v>5</v>
      </c>
      <c r="G36" s="21">
        <f t="shared" si="0"/>
        <v>0.62970219435736674</v>
      </c>
      <c r="L36">
        <v>3</v>
      </c>
      <c r="M36">
        <v>2360</v>
      </c>
      <c r="N36" s="4">
        <f t="shared" ref="N36:N37" si="1">M36*0.9</f>
        <v>2124</v>
      </c>
      <c r="O36" s="4">
        <f t="shared" ref="O36:O52" si="2">M36-N36</f>
        <v>236</v>
      </c>
    </row>
    <row r="37" spans="1:15" x14ac:dyDescent="0.25">
      <c r="A37" t="s">
        <v>126</v>
      </c>
      <c r="B37">
        <v>715</v>
      </c>
      <c r="C37">
        <v>48</v>
      </c>
      <c r="D37">
        <v>67</v>
      </c>
      <c r="E37">
        <v>1027</v>
      </c>
      <c r="F37">
        <v>5</v>
      </c>
      <c r="G37" s="21">
        <f t="shared" si="0"/>
        <v>0.55155746509129966</v>
      </c>
      <c r="L37">
        <v>3</v>
      </c>
      <c r="M37">
        <v>2119</v>
      </c>
      <c r="N37" s="4">
        <f t="shared" si="1"/>
        <v>1907.1000000000001</v>
      </c>
      <c r="O37" s="4">
        <f t="shared" si="2"/>
        <v>211.89999999999986</v>
      </c>
    </row>
    <row r="38" spans="1:15" x14ac:dyDescent="0.25">
      <c r="A38" t="s">
        <v>127</v>
      </c>
      <c r="B38">
        <v>1089</v>
      </c>
      <c r="C38">
        <v>64</v>
      </c>
      <c r="D38">
        <v>76</v>
      </c>
      <c r="E38">
        <v>1002</v>
      </c>
      <c r="F38">
        <v>5</v>
      </c>
      <c r="G38" s="21">
        <f t="shared" si="0"/>
        <v>0.44812164579606439</v>
      </c>
      <c r="L38">
        <v>6</v>
      </c>
      <c r="M38">
        <v>2370</v>
      </c>
      <c r="N38" s="4">
        <f>M38*0.78</f>
        <v>1848.6000000000001</v>
      </c>
      <c r="O38" s="4">
        <f t="shared" si="2"/>
        <v>521.39999999999986</v>
      </c>
    </row>
    <row r="39" spans="1:15" x14ac:dyDescent="0.25">
      <c r="L39">
        <v>6</v>
      </c>
      <c r="M39">
        <v>1881</v>
      </c>
      <c r="N39" s="4">
        <f t="shared" ref="N39:N40" si="3">M39*0.78</f>
        <v>1467.18</v>
      </c>
      <c r="O39" s="4">
        <f t="shared" si="2"/>
        <v>413.81999999999994</v>
      </c>
    </row>
    <row r="40" spans="1:15" x14ac:dyDescent="0.25">
      <c r="L40">
        <v>6</v>
      </c>
      <c r="M40">
        <v>1972</v>
      </c>
      <c r="N40" s="4">
        <f t="shared" si="3"/>
        <v>1538.16</v>
      </c>
      <c r="O40" s="4">
        <f t="shared" si="2"/>
        <v>433.83999999999992</v>
      </c>
    </row>
    <row r="41" spans="1:15" x14ac:dyDescent="0.25">
      <c r="L41">
        <v>12</v>
      </c>
      <c r="M41">
        <v>2677</v>
      </c>
      <c r="N41" s="4">
        <f>M41*0.7</f>
        <v>1873.8999999999999</v>
      </c>
      <c r="O41" s="4">
        <f t="shared" si="2"/>
        <v>803.10000000000014</v>
      </c>
    </row>
    <row r="42" spans="1:15" x14ac:dyDescent="0.25">
      <c r="L42">
        <v>12</v>
      </c>
      <c r="M42">
        <v>2177</v>
      </c>
      <c r="N42" s="4">
        <f t="shared" ref="N42:N43" si="4">M42*0.7</f>
        <v>1523.8999999999999</v>
      </c>
      <c r="O42" s="4">
        <f t="shared" si="2"/>
        <v>653.10000000000014</v>
      </c>
    </row>
    <row r="43" spans="1:15" x14ac:dyDescent="0.25">
      <c r="L43">
        <v>12</v>
      </c>
      <c r="M43">
        <v>3112</v>
      </c>
      <c r="N43" s="4">
        <f t="shared" si="4"/>
        <v>2178.3999999999996</v>
      </c>
      <c r="O43" s="4">
        <f t="shared" si="2"/>
        <v>933.60000000000036</v>
      </c>
    </row>
    <row r="44" spans="1:15" x14ac:dyDescent="0.25">
      <c r="L44">
        <v>16</v>
      </c>
      <c r="M44">
        <v>2927</v>
      </c>
      <c r="N44" s="4">
        <f>M44*0.63</f>
        <v>1844.01</v>
      </c>
      <c r="O44" s="4">
        <f t="shared" si="2"/>
        <v>1082.99</v>
      </c>
    </row>
    <row r="45" spans="1:15" x14ac:dyDescent="0.25">
      <c r="L45">
        <v>16</v>
      </c>
      <c r="M45">
        <v>3092</v>
      </c>
      <c r="N45" s="4">
        <f t="shared" ref="N45:N46" si="5">M45*0.63</f>
        <v>1947.96</v>
      </c>
      <c r="O45" s="4">
        <f t="shared" si="2"/>
        <v>1144.04</v>
      </c>
    </row>
    <row r="46" spans="1:15" x14ac:dyDescent="0.25">
      <c r="L46">
        <v>16</v>
      </c>
      <c r="M46">
        <v>4047</v>
      </c>
      <c r="N46" s="4">
        <f t="shared" si="5"/>
        <v>2549.61</v>
      </c>
      <c r="O46" s="4">
        <f t="shared" si="2"/>
        <v>1497.3899999999999</v>
      </c>
    </row>
    <row r="47" spans="1:15" x14ac:dyDescent="0.25">
      <c r="L47">
        <v>24</v>
      </c>
      <c r="M47">
        <v>2740</v>
      </c>
      <c r="N47" s="4">
        <f>M47*0.55</f>
        <v>1507.0000000000002</v>
      </c>
      <c r="O47" s="4">
        <f t="shared" si="2"/>
        <v>1232.9999999999998</v>
      </c>
    </row>
    <row r="48" spans="1:15" x14ac:dyDescent="0.25">
      <c r="L48">
        <v>24</v>
      </c>
      <c r="M48">
        <v>3385</v>
      </c>
      <c r="N48" s="4">
        <f t="shared" ref="N48:N49" si="6">M48*0.55</f>
        <v>1861.7500000000002</v>
      </c>
      <c r="O48" s="4">
        <f t="shared" si="2"/>
        <v>1523.2499999999998</v>
      </c>
    </row>
    <row r="49" spans="12:15" x14ac:dyDescent="0.25">
      <c r="L49">
        <v>24</v>
      </c>
      <c r="M49">
        <v>3328</v>
      </c>
      <c r="N49" s="4">
        <f t="shared" si="6"/>
        <v>1830.4</v>
      </c>
      <c r="O49" s="4">
        <f t="shared" si="2"/>
        <v>1497.6</v>
      </c>
    </row>
    <row r="50" spans="12:15" x14ac:dyDescent="0.25">
      <c r="L50">
        <v>36</v>
      </c>
      <c r="M50">
        <v>5902</v>
      </c>
      <c r="N50" s="4">
        <f>M50*0.45</f>
        <v>2655.9</v>
      </c>
      <c r="O50" s="4">
        <f t="shared" si="2"/>
        <v>3246.1</v>
      </c>
    </row>
    <row r="51" spans="12:15" x14ac:dyDescent="0.25">
      <c r="L51">
        <v>36</v>
      </c>
      <c r="M51">
        <v>5744</v>
      </c>
      <c r="N51" s="4">
        <f t="shared" ref="N51:N52" si="7">M51*0.45</f>
        <v>2584.8000000000002</v>
      </c>
      <c r="O51" s="4">
        <f t="shared" si="2"/>
        <v>3159.2</v>
      </c>
    </row>
    <row r="52" spans="12:15" x14ac:dyDescent="0.25">
      <c r="L52">
        <v>36</v>
      </c>
      <c r="M52">
        <v>5098</v>
      </c>
      <c r="N52" s="4">
        <f t="shared" si="7"/>
        <v>2294.1</v>
      </c>
      <c r="O52" s="4">
        <f t="shared" si="2"/>
        <v>2803.9</v>
      </c>
    </row>
  </sheetData>
  <pageMargins left="0.75" right="0.75" top="1" bottom="1" header="0.5" footer="0.5"/>
  <pageSetup orientation="portrait" horizontalDpi="4294967292" verticalDpi="4294967292"/>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CC"/>
  </sheetPr>
  <dimension ref="A1:J43"/>
  <sheetViews>
    <sheetView topLeftCell="B4" workbookViewId="0">
      <selection activeCell="C27" sqref="C27"/>
    </sheetView>
  </sheetViews>
  <sheetFormatPr defaultColWidth="11" defaultRowHeight="15.75" x14ac:dyDescent="0.25"/>
  <cols>
    <col min="2" max="2" width="23.125" customWidth="1"/>
    <col min="6" max="6" width="13.5" customWidth="1"/>
  </cols>
  <sheetData>
    <row r="1" spans="1:10" x14ac:dyDescent="0.25">
      <c r="B1" t="s">
        <v>102</v>
      </c>
      <c r="C1">
        <v>22</v>
      </c>
    </row>
    <row r="3" spans="1:10" x14ac:dyDescent="0.25">
      <c r="A3" t="s">
        <v>75</v>
      </c>
      <c r="B3" t="s">
        <v>129</v>
      </c>
      <c r="C3" t="s">
        <v>130</v>
      </c>
      <c r="D3" t="s">
        <v>131</v>
      </c>
      <c r="E3" t="s">
        <v>132</v>
      </c>
      <c r="F3" t="s">
        <v>133</v>
      </c>
      <c r="H3" t="s">
        <v>134</v>
      </c>
    </row>
    <row r="4" spans="1:10" x14ac:dyDescent="0.25">
      <c r="A4" t="s">
        <v>136</v>
      </c>
      <c r="B4">
        <v>0</v>
      </c>
      <c r="C4">
        <f>B4/10</f>
        <v>0</v>
      </c>
      <c r="D4" s="4">
        <f>(C4*391*1000)/(2220000*10.9)</f>
        <v>0</v>
      </c>
      <c r="E4" s="4"/>
      <c r="J4" s="19"/>
    </row>
    <row r="5" spans="1:10" x14ac:dyDescent="0.25">
      <c r="A5" t="s">
        <v>137</v>
      </c>
      <c r="B5">
        <v>237</v>
      </c>
      <c r="C5">
        <f>B5/2000</f>
        <v>0.11849999999999999</v>
      </c>
      <c r="D5" s="2">
        <f>(C5*391*1000)/(2220000*49.2)</f>
        <v>4.2420621841353546E-4</v>
      </c>
      <c r="E5" s="4">
        <f>D5*1000*1000</f>
        <v>424.20621841353545</v>
      </c>
      <c r="I5" s="4">
        <f>AVERAGE(F11,F14,F17,F20,F23,F26)</f>
        <v>272.86025863261636</v>
      </c>
    </row>
    <row r="6" spans="1:10" x14ac:dyDescent="0.25">
      <c r="A6" t="s">
        <v>138</v>
      </c>
      <c r="B6">
        <v>172</v>
      </c>
      <c r="C6">
        <f t="shared" ref="C6:C31" si="0">B6/2000</f>
        <v>8.5999999999999993E-2</v>
      </c>
      <c r="D6" s="2">
        <f t="shared" ref="D6:D31" si="1">(C6*391*1000)/(2220000*49.2)</f>
        <v>3.0786274078957004E-4</v>
      </c>
      <c r="E6" s="4">
        <f t="shared" ref="E6:E31" si="2">D6*1000*1000</f>
        <v>307.86274078957007</v>
      </c>
    </row>
    <row r="7" spans="1:10" x14ac:dyDescent="0.25">
      <c r="A7" t="s">
        <v>139</v>
      </c>
      <c r="B7">
        <v>182</v>
      </c>
      <c r="C7">
        <f t="shared" si="0"/>
        <v>9.0999999999999998E-2</v>
      </c>
      <c r="D7" s="2">
        <f t="shared" si="1"/>
        <v>3.2576173734710312E-4</v>
      </c>
      <c r="E7" s="4">
        <f t="shared" si="2"/>
        <v>325.76173734710312</v>
      </c>
    </row>
    <row r="8" spans="1:10" x14ac:dyDescent="0.25">
      <c r="A8" t="s">
        <v>181</v>
      </c>
      <c r="B8">
        <v>186</v>
      </c>
      <c r="C8">
        <f t="shared" si="0"/>
        <v>9.2999999999999999E-2</v>
      </c>
      <c r="D8" s="2">
        <f t="shared" si="1"/>
        <v>3.3292133597011644E-4</v>
      </c>
      <c r="E8" s="4">
        <f t="shared" si="2"/>
        <v>332.92133597011639</v>
      </c>
    </row>
    <row r="9" spans="1:10" x14ac:dyDescent="0.25">
      <c r="A9" t="s">
        <v>140</v>
      </c>
      <c r="B9">
        <v>152</v>
      </c>
      <c r="C9">
        <f t="shared" si="0"/>
        <v>7.5999999999999998E-2</v>
      </c>
      <c r="D9" s="2">
        <f t="shared" si="1"/>
        <v>2.7206474767450372E-4</v>
      </c>
      <c r="E9" s="4">
        <f t="shared" si="2"/>
        <v>272.06474767450374</v>
      </c>
    </row>
    <row r="10" spans="1:10" x14ac:dyDescent="0.25">
      <c r="A10" t="s">
        <v>141</v>
      </c>
      <c r="B10">
        <v>175</v>
      </c>
      <c r="C10">
        <f t="shared" si="0"/>
        <v>8.7499999999999994E-2</v>
      </c>
      <c r="D10" s="2">
        <f t="shared" si="1"/>
        <v>3.1323243975683E-4</v>
      </c>
      <c r="E10" s="4">
        <f t="shared" si="2"/>
        <v>313.23243975682999</v>
      </c>
    </row>
    <row r="11" spans="1:10" x14ac:dyDescent="0.25">
      <c r="A11" t="s">
        <v>143</v>
      </c>
      <c r="B11">
        <v>219</v>
      </c>
      <c r="C11">
        <f t="shared" si="0"/>
        <v>0.1095</v>
      </c>
      <c r="D11" s="2">
        <f t="shared" si="1"/>
        <v>3.9198802460997586E-4</v>
      </c>
      <c r="E11" s="4">
        <f t="shared" si="2"/>
        <v>391.98802460997581</v>
      </c>
      <c r="F11" s="4">
        <f>AVERAGE(E11:E13)</f>
        <v>317.40887228692105</v>
      </c>
      <c r="G11" s="20">
        <f>STDEV(E11:E13)/F11</f>
        <v>0.21041719782248114</v>
      </c>
      <c r="H11" s="13">
        <f>E11/1000</f>
        <v>0.39198802460997578</v>
      </c>
      <c r="I11">
        <v>3</v>
      </c>
    </row>
    <row r="12" spans="1:10" x14ac:dyDescent="0.25">
      <c r="A12" t="s">
        <v>144</v>
      </c>
      <c r="B12">
        <v>166</v>
      </c>
      <c r="C12">
        <f t="shared" si="0"/>
        <v>8.3000000000000004E-2</v>
      </c>
      <c r="D12" s="2">
        <f t="shared" si="1"/>
        <v>2.9712334285505023E-4</v>
      </c>
      <c r="E12" s="4">
        <f t="shared" si="2"/>
        <v>297.12334285505023</v>
      </c>
      <c r="H12" s="13">
        <f t="shared" ref="H12:H28" si="3">E12/1000</f>
        <v>0.29712334285505021</v>
      </c>
      <c r="I12">
        <v>3</v>
      </c>
    </row>
    <row r="13" spans="1:10" x14ac:dyDescent="0.25">
      <c r="A13" t="s">
        <v>145</v>
      </c>
      <c r="B13">
        <v>147</v>
      </c>
      <c r="C13">
        <f t="shared" si="0"/>
        <v>7.3499999999999996E-2</v>
      </c>
      <c r="D13" s="2">
        <f t="shared" si="1"/>
        <v>2.6311524939573721E-4</v>
      </c>
      <c r="E13" s="4">
        <f t="shared" si="2"/>
        <v>263.11524939573724</v>
      </c>
      <c r="H13" s="13">
        <f t="shared" si="3"/>
        <v>0.26311524939573722</v>
      </c>
      <c r="I13">
        <v>3</v>
      </c>
    </row>
    <row r="14" spans="1:10" x14ac:dyDescent="0.25">
      <c r="A14" t="s">
        <v>146</v>
      </c>
      <c r="B14">
        <v>145</v>
      </c>
      <c r="C14">
        <f t="shared" si="0"/>
        <v>7.2499999999999995E-2</v>
      </c>
      <c r="D14" s="2">
        <f t="shared" si="1"/>
        <v>2.5953545008423055E-4</v>
      </c>
      <c r="E14" s="4">
        <f t="shared" si="2"/>
        <v>259.53545008423055</v>
      </c>
      <c r="F14" s="4">
        <f>AVERAGE(E14:E16)</f>
        <v>251.77921824263285</v>
      </c>
      <c r="G14" s="20">
        <f>STDEV(E14:E16)/F14</f>
        <v>7.9268856320747469E-2</v>
      </c>
      <c r="H14" s="13">
        <f t="shared" si="3"/>
        <v>0.25953545008423057</v>
      </c>
      <c r="I14">
        <v>6</v>
      </c>
    </row>
    <row r="15" spans="1:10" x14ac:dyDescent="0.25">
      <c r="A15" t="s">
        <v>147</v>
      </c>
      <c r="B15">
        <v>149</v>
      </c>
      <c r="C15">
        <f t="shared" si="0"/>
        <v>7.4499999999999997E-2</v>
      </c>
      <c r="D15" s="2">
        <f t="shared" si="1"/>
        <v>2.6669504870724381E-4</v>
      </c>
      <c r="E15" s="4">
        <f t="shared" si="2"/>
        <v>266.69504870724381</v>
      </c>
      <c r="H15" s="13">
        <f t="shared" si="3"/>
        <v>0.26669504870724381</v>
      </c>
      <c r="I15">
        <v>6</v>
      </c>
    </row>
    <row r="16" spans="1:10" x14ac:dyDescent="0.25">
      <c r="A16" t="s">
        <v>148</v>
      </c>
      <c r="B16">
        <v>128</v>
      </c>
      <c r="C16">
        <f t="shared" si="0"/>
        <v>6.4000000000000001E-2</v>
      </c>
      <c r="D16" s="2">
        <f t="shared" si="1"/>
        <v>2.2910715593642424E-4</v>
      </c>
      <c r="E16" s="4">
        <f t="shared" si="2"/>
        <v>229.10715593642425</v>
      </c>
      <c r="H16" s="13">
        <f t="shared" si="3"/>
        <v>0.22910715593642425</v>
      </c>
      <c r="I16">
        <v>6</v>
      </c>
    </row>
    <row r="17" spans="1:9" x14ac:dyDescent="0.25">
      <c r="A17" t="s">
        <v>149</v>
      </c>
      <c r="B17">
        <v>168</v>
      </c>
      <c r="C17">
        <f t="shared" si="0"/>
        <v>8.4000000000000005E-2</v>
      </c>
      <c r="D17" s="2">
        <f t="shared" si="1"/>
        <v>3.0070314216655678E-4</v>
      </c>
      <c r="E17" s="4">
        <f t="shared" si="2"/>
        <v>300.7031421665568</v>
      </c>
      <c r="F17" s="4">
        <f>AVERAGE(E17:E19)</f>
        <v>260.72871652139946</v>
      </c>
      <c r="G17" s="20">
        <f>STDEV(E17:E19)/F17</f>
        <v>0.15108174682145606</v>
      </c>
      <c r="H17" s="13">
        <f t="shared" si="3"/>
        <v>0.3007031421665568</v>
      </c>
      <c r="I17">
        <v>12</v>
      </c>
    </row>
    <row r="18" spans="1:9" x14ac:dyDescent="0.25">
      <c r="A18" t="s">
        <v>150</v>
      </c>
      <c r="B18">
        <v>124</v>
      </c>
      <c r="C18">
        <f t="shared" si="0"/>
        <v>6.2E-2</v>
      </c>
      <c r="D18" s="2">
        <f t="shared" si="1"/>
        <v>2.2194755731341098E-4</v>
      </c>
      <c r="E18" s="4">
        <f t="shared" si="2"/>
        <v>221.94755731341098</v>
      </c>
      <c r="H18" s="13">
        <f t="shared" si="3"/>
        <v>0.22194755731341098</v>
      </c>
      <c r="I18">
        <v>12</v>
      </c>
    </row>
    <row r="19" spans="1:9" x14ac:dyDescent="0.25">
      <c r="A19" t="s">
        <v>151</v>
      </c>
      <c r="B19">
        <v>145</v>
      </c>
      <c r="C19">
        <f t="shared" si="0"/>
        <v>7.2499999999999995E-2</v>
      </c>
      <c r="D19" s="2">
        <f t="shared" si="1"/>
        <v>2.5953545008423055E-4</v>
      </c>
      <c r="E19" s="4">
        <f t="shared" si="2"/>
        <v>259.53545008423055</v>
      </c>
      <c r="H19" s="13">
        <f t="shared" si="3"/>
        <v>0.25953545008423057</v>
      </c>
      <c r="I19">
        <v>12</v>
      </c>
    </row>
    <row r="20" spans="1:9" x14ac:dyDescent="0.25">
      <c r="A20" t="s">
        <v>182</v>
      </c>
      <c r="B20">
        <v>154</v>
      </c>
      <c r="C20">
        <f t="shared" si="0"/>
        <v>7.6999999999999999E-2</v>
      </c>
      <c r="D20" s="2">
        <f t="shared" si="1"/>
        <v>2.7564454698601038E-4</v>
      </c>
      <c r="E20" s="4">
        <f t="shared" si="2"/>
        <v>275.64454698601037</v>
      </c>
      <c r="F20" s="4">
        <f>AVERAGE(E20:E22)</f>
        <v>248.7960521497107</v>
      </c>
      <c r="G20" s="20">
        <f>STDEV(E20:E22)/F20</f>
        <v>0.10791366906474811</v>
      </c>
      <c r="H20" s="13">
        <f t="shared" si="3"/>
        <v>0.27564454698601037</v>
      </c>
      <c r="I20">
        <v>16</v>
      </c>
    </row>
    <row r="21" spans="1:9" x14ac:dyDescent="0.25">
      <c r="A21" t="s">
        <v>183</v>
      </c>
      <c r="B21">
        <v>124</v>
      </c>
      <c r="C21">
        <f t="shared" si="0"/>
        <v>6.2E-2</v>
      </c>
      <c r="D21" s="2">
        <f t="shared" si="1"/>
        <v>2.2194755731341098E-4</v>
      </c>
      <c r="E21" s="4">
        <f t="shared" si="2"/>
        <v>221.94755731341098</v>
      </c>
      <c r="H21" s="13">
        <f t="shared" si="3"/>
        <v>0.22194755731341098</v>
      </c>
      <c r="I21">
        <v>16</v>
      </c>
    </row>
    <row r="22" spans="1:9" x14ac:dyDescent="0.25">
      <c r="A22" t="s">
        <v>184</v>
      </c>
      <c r="B22">
        <v>139</v>
      </c>
      <c r="C22">
        <f t="shared" si="0"/>
        <v>6.9500000000000006E-2</v>
      </c>
      <c r="D22" s="2">
        <f t="shared" si="1"/>
        <v>2.4879605214971073E-4</v>
      </c>
      <c r="E22" s="4">
        <f t="shared" si="2"/>
        <v>248.79605214971073</v>
      </c>
      <c r="H22" s="13">
        <f t="shared" si="3"/>
        <v>0.24879605214971073</v>
      </c>
      <c r="I22">
        <v>16</v>
      </c>
    </row>
    <row r="23" spans="1:9" x14ac:dyDescent="0.25">
      <c r="A23" t="s">
        <v>152</v>
      </c>
      <c r="B23">
        <v>102</v>
      </c>
      <c r="C23">
        <f t="shared" si="0"/>
        <v>5.0999999999999997E-2</v>
      </c>
      <c r="D23" s="2">
        <f t="shared" si="1"/>
        <v>1.8256976488683805E-4</v>
      </c>
      <c r="E23" s="4">
        <f t="shared" si="2"/>
        <v>182.56976488683804</v>
      </c>
      <c r="F23" s="4">
        <f>AVERAGE(E23:E25)</f>
        <v>295.93007641788131</v>
      </c>
      <c r="G23" s="20">
        <f>STDEV(E23:E25)/F23</f>
        <v>0.45299687134974054</v>
      </c>
      <c r="H23" s="13">
        <f t="shared" si="3"/>
        <v>0.18256976488683804</v>
      </c>
      <c r="I23">
        <v>24</v>
      </c>
    </row>
    <row r="24" spans="1:9" x14ac:dyDescent="0.25">
      <c r="A24" t="s">
        <v>153</v>
      </c>
      <c r="B24">
        <v>146</v>
      </c>
      <c r="C24">
        <f t="shared" si="0"/>
        <v>7.2999999999999995E-2</v>
      </c>
      <c r="D24" s="2">
        <f t="shared" si="1"/>
        <v>2.613253497399839E-4</v>
      </c>
      <c r="E24" s="4">
        <f t="shared" si="2"/>
        <v>261.32534973998389</v>
      </c>
      <c r="H24" s="13">
        <f t="shared" si="3"/>
        <v>0.26132534973998389</v>
      </c>
      <c r="I24">
        <v>24</v>
      </c>
    </row>
    <row r="25" spans="1:9" x14ac:dyDescent="0.25">
      <c r="A25" t="s">
        <v>154</v>
      </c>
      <c r="B25">
        <v>248</v>
      </c>
      <c r="C25">
        <f t="shared" si="0"/>
        <v>0.124</v>
      </c>
      <c r="D25" s="2">
        <f t="shared" si="1"/>
        <v>4.4389511462682195E-4</v>
      </c>
      <c r="E25" s="4">
        <f t="shared" si="2"/>
        <v>443.89511462682196</v>
      </c>
      <c r="H25" s="13">
        <f t="shared" si="3"/>
        <v>0.44389511462682196</v>
      </c>
      <c r="I25">
        <v>24</v>
      </c>
    </row>
    <row r="26" spans="1:9" x14ac:dyDescent="0.25">
      <c r="A26" t="s">
        <v>155</v>
      </c>
      <c r="B26">
        <v>149</v>
      </c>
      <c r="C26">
        <f t="shared" si="0"/>
        <v>7.4499999999999997E-2</v>
      </c>
      <c r="D26" s="2">
        <f t="shared" si="1"/>
        <v>2.6669504870724381E-4</v>
      </c>
      <c r="E26" s="4">
        <f t="shared" si="2"/>
        <v>266.69504870724381</v>
      </c>
      <c r="F26" s="4">
        <f>AVERAGE(E26:E28)</f>
        <v>262.51861617715275</v>
      </c>
      <c r="G26" s="20">
        <f>STDEV(E26:E28)/F26</f>
        <v>0.14723694851586894</v>
      </c>
      <c r="H26" s="13">
        <f t="shared" si="3"/>
        <v>0.26669504870724381</v>
      </c>
      <c r="I26">
        <v>36</v>
      </c>
    </row>
    <row r="27" spans="1:9" x14ac:dyDescent="0.25">
      <c r="A27" t="s">
        <v>156</v>
      </c>
      <c r="B27">
        <v>124</v>
      </c>
      <c r="C27">
        <f t="shared" si="0"/>
        <v>6.2E-2</v>
      </c>
      <c r="D27" s="2">
        <f t="shared" si="1"/>
        <v>2.2194755731341098E-4</v>
      </c>
      <c r="E27" s="4">
        <f t="shared" si="2"/>
        <v>221.94755731341098</v>
      </c>
      <c r="H27" s="13">
        <f t="shared" si="3"/>
        <v>0.22194755731341098</v>
      </c>
      <c r="I27">
        <v>36</v>
      </c>
    </row>
    <row r="28" spans="1:9" x14ac:dyDescent="0.25">
      <c r="A28" t="s">
        <v>157</v>
      </c>
      <c r="B28">
        <v>167</v>
      </c>
      <c r="C28">
        <f t="shared" si="0"/>
        <v>8.3500000000000005E-2</v>
      </c>
      <c r="D28" s="2">
        <f t="shared" si="1"/>
        <v>2.9891324251080347E-4</v>
      </c>
      <c r="E28" s="4">
        <f t="shared" si="2"/>
        <v>298.91324251080346</v>
      </c>
      <c r="H28" s="13">
        <f t="shared" si="3"/>
        <v>0.29891324251080348</v>
      </c>
      <c r="I28">
        <v>36</v>
      </c>
    </row>
    <row r="29" spans="1:9" x14ac:dyDescent="0.25">
      <c r="A29" t="s">
        <v>99</v>
      </c>
      <c r="B29">
        <v>0</v>
      </c>
      <c r="C29">
        <f t="shared" si="0"/>
        <v>0</v>
      </c>
      <c r="D29" s="2">
        <f t="shared" si="1"/>
        <v>0</v>
      </c>
      <c r="E29" s="4">
        <f t="shared" si="2"/>
        <v>0</v>
      </c>
      <c r="F29" s="4">
        <f>AVERAGE(E29:E31)</f>
        <v>1.7898996557533142</v>
      </c>
    </row>
    <row r="30" spans="1:9" x14ac:dyDescent="0.25">
      <c r="A30" t="s">
        <v>100</v>
      </c>
      <c r="B30">
        <v>3</v>
      </c>
      <c r="C30">
        <f t="shared" si="0"/>
        <v>1.5E-3</v>
      </c>
      <c r="D30" s="2">
        <f t="shared" si="1"/>
        <v>5.3696989672599432E-6</v>
      </c>
      <c r="E30" s="4">
        <f t="shared" si="2"/>
        <v>5.3696989672599429</v>
      </c>
    </row>
    <row r="31" spans="1:9" x14ac:dyDescent="0.25">
      <c r="A31" t="s">
        <v>101</v>
      </c>
      <c r="B31">
        <v>0</v>
      </c>
      <c r="C31">
        <f t="shared" si="0"/>
        <v>0</v>
      </c>
      <c r="D31" s="2">
        <f t="shared" si="1"/>
        <v>0</v>
      </c>
      <c r="E31" s="4">
        <f t="shared" si="2"/>
        <v>0</v>
      </c>
    </row>
    <row r="32" spans="1:9" x14ac:dyDescent="0.25">
      <c r="D32" s="2"/>
      <c r="E32" s="4"/>
    </row>
    <row r="33" spans="1:5" x14ac:dyDescent="0.25">
      <c r="D33" s="2"/>
      <c r="E33" s="4"/>
    </row>
    <row r="34" spans="1:5" x14ac:dyDescent="0.25">
      <c r="A34" s="14" t="s">
        <v>164</v>
      </c>
      <c r="B34" s="14">
        <f t="array" ref="B34:C38">LINEST(E11:E28,I11:I28,TRUE,TRUE)</f>
        <v>-0.45680353259080109</v>
      </c>
      <c r="C34" s="15">
        <v>280.24524907616762</v>
      </c>
      <c r="D34" s="16" t="s">
        <v>165</v>
      </c>
      <c r="E34" s="17"/>
    </row>
    <row r="35" spans="1:5" x14ac:dyDescent="0.25">
      <c r="A35" s="14" t="s">
        <v>166</v>
      </c>
      <c r="B35" s="14">
        <v>1.3354891404214562</v>
      </c>
      <c r="C35" s="15">
        <v>26.243862434143512</v>
      </c>
      <c r="D35" s="16" t="s">
        <v>166</v>
      </c>
      <c r="E35" s="17"/>
    </row>
    <row r="36" spans="1:5" x14ac:dyDescent="0.25">
      <c r="A36" s="14" t="s">
        <v>167</v>
      </c>
      <c r="B36" s="14">
        <v>7.2592881492571397E-3</v>
      </c>
      <c r="C36" s="15">
        <v>63.298522416076558</v>
      </c>
      <c r="D36" s="16" t="s">
        <v>168</v>
      </c>
      <c r="E36" s="17"/>
    </row>
    <row r="37" spans="1:5" x14ac:dyDescent="0.25">
      <c r="A37" s="14" t="s">
        <v>169</v>
      </c>
      <c r="B37" s="14">
        <v>0.11699793209002293</v>
      </c>
      <c r="C37" s="15">
        <v>16</v>
      </c>
      <c r="D37" s="16" t="s">
        <v>170</v>
      </c>
      <c r="E37" s="17"/>
    </row>
    <row r="38" spans="1:5" x14ac:dyDescent="0.25">
      <c r="A38" s="14" t="s">
        <v>171</v>
      </c>
      <c r="B38" s="14">
        <v>468.77595848586498</v>
      </c>
      <c r="C38" s="15">
        <v>64107.247040936738</v>
      </c>
      <c r="D38" s="16" t="s">
        <v>172</v>
      </c>
      <c r="E38" s="17"/>
    </row>
    <row r="39" spans="1:5" x14ac:dyDescent="0.25">
      <c r="D39" s="2"/>
      <c r="E39" s="4"/>
    </row>
    <row r="40" spans="1:5" x14ac:dyDescent="0.25">
      <c r="D40" s="2"/>
      <c r="E40" s="4"/>
    </row>
    <row r="41" spans="1:5" x14ac:dyDescent="0.25">
      <c r="A41" s="14" t="s">
        <v>173</v>
      </c>
      <c r="B41" s="14">
        <f>B34/B35</f>
        <v>-0.34204960472133988</v>
      </c>
      <c r="D41" s="2"/>
      <c r="E41" s="4"/>
    </row>
    <row r="42" spans="1:5" x14ac:dyDescent="0.25">
      <c r="A42" s="14" t="s">
        <v>174</v>
      </c>
      <c r="B42" s="14">
        <f>TDIST(ABS(B41),C37,2)</f>
        <v>0.73676520020067116</v>
      </c>
      <c r="C42" t="s">
        <v>190</v>
      </c>
      <c r="D42" s="2"/>
      <c r="E42" s="4"/>
    </row>
    <row r="43" spans="1:5" x14ac:dyDescent="0.25">
      <c r="D43" s="2"/>
      <c r="E43" s="4"/>
    </row>
  </sheetData>
  <pageMargins left="0.75" right="0.75" top="1" bottom="1" header="0.5" footer="0.5"/>
  <pageSetup orientation="portrait" horizontalDpi="4294967292" verticalDpi="4294967292"/>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CFFCC"/>
  </sheetPr>
  <dimension ref="A1:F24"/>
  <sheetViews>
    <sheetView workbookViewId="0">
      <selection activeCell="C27" sqref="C27"/>
    </sheetView>
  </sheetViews>
  <sheetFormatPr defaultColWidth="11" defaultRowHeight="15.75" x14ac:dyDescent="0.25"/>
  <cols>
    <col min="2" max="2" width="16.875" customWidth="1"/>
    <col min="3" max="3" width="20.125" customWidth="1"/>
    <col min="4" max="4" width="18.125" customWidth="1"/>
    <col min="5" max="5" width="7.875" customWidth="1"/>
    <col min="6" max="6" width="21.625" customWidth="1"/>
  </cols>
  <sheetData>
    <row r="1" spans="1:6" x14ac:dyDescent="0.25">
      <c r="A1" s="24" t="s">
        <v>199</v>
      </c>
      <c r="B1" s="24"/>
      <c r="C1" s="25"/>
      <c r="D1" s="25"/>
      <c r="E1" s="25"/>
      <c r="F1" s="25"/>
    </row>
    <row r="2" spans="1:6" x14ac:dyDescent="0.25">
      <c r="A2" s="25"/>
      <c r="B2" s="25"/>
      <c r="C2" s="25"/>
      <c r="D2" s="25"/>
      <c r="E2" s="25"/>
      <c r="F2" s="25"/>
    </row>
    <row r="3" spans="1:6" x14ac:dyDescent="0.25">
      <c r="A3" s="25" t="s">
        <v>75</v>
      </c>
      <c r="B3" s="25" t="s">
        <v>76</v>
      </c>
      <c r="C3" s="25" t="s">
        <v>77</v>
      </c>
      <c r="D3" s="25" t="s">
        <v>78</v>
      </c>
      <c r="E3" s="25" t="s">
        <v>79</v>
      </c>
      <c r="F3" s="25" t="s">
        <v>80</v>
      </c>
    </row>
    <row r="4" spans="1:6" x14ac:dyDescent="0.25">
      <c r="A4" s="25" t="s">
        <v>81</v>
      </c>
      <c r="B4" s="25">
        <v>5.1529999999999999E-2</v>
      </c>
      <c r="C4" s="25">
        <v>5.2549999999999999E-2</v>
      </c>
      <c r="D4" s="25">
        <f>C4-B4</f>
        <v>1.0200000000000001E-3</v>
      </c>
      <c r="E4" s="25">
        <v>15</v>
      </c>
      <c r="F4" s="26">
        <f>D4/E4</f>
        <v>6.7999999999999999E-5</v>
      </c>
    </row>
    <row r="5" spans="1:6" x14ac:dyDescent="0.25">
      <c r="A5" s="25" t="s">
        <v>82</v>
      </c>
      <c r="B5" s="25">
        <v>5.2900000000000003E-2</v>
      </c>
      <c r="C5" s="25">
        <v>5.4019999999999999E-2</v>
      </c>
      <c r="D5" s="25">
        <f t="shared" ref="D5:D24" si="0">C5-B5</f>
        <v>1.119999999999996E-3</v>
      </c>
      <c r="E5" s="25">
        <v>16</v>
      </c>
      <c r="F5" s="26">
        <f>D5/E5</f>
        <v>6.999999999999975E-5</v>
      </c>
    </row>
    <row r="6" spans="1:6" x14ac:dyDescent="0.25">
      <c r="A6" s="25" t="s">
        <v>83</v>
      </c>
      <c r="B6" s="25">
        <v>4.8079999999999998E-2</v>
      </c>
      <c r="C6" s="25">
        <v>4.9450000000000001E-2</v>
      </c>
      <c r="D6" s="25">
        <f t="shared" si="0"/>
        <v>1.3700000000000032E-3</v>
      </c>
      <c r="E6" s="25">
        <v>16</v>
      </c>
      <c r="F6" s="26">
        <f t="shared" ref="F6:F24" si="1">D6/E6</f>
        <v>8.5625000000000197E-5</v>
      </c>
    </row>
    <row r="7" spans="1:6" x14ac:dyDescent="0.25">
      <c r="A7" s="25" t="s">
        <v>84</v>
      </c>
      <c r="B7" s="25">
        <v>4.6429999999999999E-2</v>
      </c>
      <c r="C7" s="25">
        <v>4.7739999999999998E-2</v>
      </c>
      <c r="D7" s="25">
        <f t="shared" si="0"/>
        <v>1.3099999999999987E-3</v>
      </c>
      <c r="E7" s="25">
        <v>14</v>
      </c>
      <c r="F7" s="26">
        <f t="shared" si="1"/>
        <v>9.357142857142847E-5</v>
      </c>
    </row>
    <row r="8" spans="1:6" x14ac:dyDescent="0.25">
      <c r="A8" s="25" t="s">
        <v>85</v>
      </c>
      <c r="B8" s="25">
        <v>5.1990000000000001E-2</v>
      </c>
      <c r="C8" s="25">
        <v>5.3379999999999997E-2</v>
      </c>
      <c r="D8" s="25">
        <f t="shared" si="0"/>
        <v>1.3899999999999954E-3</v>
      </c>
      <c r="E8" s="25">
        <v>14</v>
      </c>
      <c r="F8" s="26">
        <f t="shared" si="1"/>
        <v>9.928571428571396E-5</v>
      </c>
    </row>
    <row r="9" spans="1:6" x14ac:dyDescent="0.25">
      <c r="A9" s="25" t="s">
        <v>86</v>
      </c>
      <c r="B9" s="25">
        <v>4.5940000000000002E-2</v>
      </c>
      <c r="C9" s="25">
        <v>4.7410000000000001E-2</v>
      </c>
      <c r="D9" s="25">
        <f t="shared" si="0"/>
        <v>1.4699999999999991E-3</v>
      </c>
      <c r="E9" s="25">
        <v>16</v>
      </c>
      <c r="F9" s="26">
        <f t="shared" si="1"/>
        <v>9.1874999999999943E-5</v>
      </c>
    </row>
    <row r="10" spans="1:6" x14ac:dyDescent="0.25">
      <c r="A10" s="25" t="s">
        <v>87</v>
      </c>
      <c r="B10" s="25">
        <v>4.5909999999999999E-2</v>
      </c>
      <c r="C10" s="25">
        <v>4.7120000000000002E-2</v>
      </c>
      <c r="D10" s="25">
        <f t="shared" si="0"/>
        <v>1.2100000000000027E-3</v>
      </c>
      <c r="E10" s="25">
        <v>14</v>
      </c>
      <c r="F10" s="26">
        <f t="shared" si="1"/>
        <v>8.6428571428571622E-5</v>
      </c>
    </row>
    <row r="11" spans="1:6" x14ac:dyDescent="0.25">
      <c r="A11" s="25" t="s">
        <v>88</v>
      </c>
      <c r="B11" s="25">
        <v>5.1769999999999997E-2</v>
      </c>
      <c r="C11" s="25">
        <v>5.2929999999999998E-2</v>
      </c>
      <c r="D11" s="25">
        <f t="shared" si="0"/>
        <v>1.1600000000000013E-3</v>
      </c>
      <c r="E11" s="25">
        <v>14</v>
      </c>
      <c r="F11" s="26">
        <f t="shared" si="1"/>
        <v>8.2857142857142954E-5</v>
      </c>
    </row>
    <row r="12" spans="1:6" x14ac:dyDescent="0.25">
      <c r="A12" s="25" t="s">
        <v>89</v>
      </c>
      <c r="B12" s="25">
        <v>4.589E-2</v>
      </c>
      <c r="C12" s="25">
        <v>4.684E-2</v>
      </c>
      <c r="D12" s="25">
        <f t="shared" si="0"/>
        <v>9.4999999999999946E-4</v>
      </c>
      <c r="E12" s="25">
        <v>15</v>
      </c>
      <c r="F12" s="26">
        <f t="shared" si="1"/>
        <v>6.3333333333333292E-5</v>
      </c>
    </row>
    <row r="13" spans="1:6" x14ac:dyDescent="0.25">
      <c r="A13" s="25" t="s">
        <v>177</v>
      </c>
      <c r="B13" s="25">
        <v>4.6039999999999998E-2</v>
      </c>
      <c r="C13" s="25">
        <v>4.691E-2</v>
      </c>
      <c r="D13" s="25">
        <f t="shared" si="0"/>
        <v>8.7000000000000272E-4</v>
      </c>
      <c r="E13" s="25">
        <v>14</v>
      </c>
      <c r="F13" s="26">
        <f t="shared" si="1"/>
        <v>6.2142857142857331E-5</v>
      </c>
    </row>
    <row r="14" spans="1:6" x14ac:dyDescent="0.25">
      <c r="A14" s="25" t="s">
        <v>178</v>
      </c>
      <c r="B14" s="25">
        <v>4.6370000000000001E-2</v>
      </c>
      <c r="C14" s="25">
        <v>4.7570000000000001E-2</v>
      </c>
      <c r="D14" s="25">
        <f t="shared" si="0"/>
        <v>1.1999999999999997E-3</v>
      </c>
      <c r="E14" s="25">
        <v>14</v>
      </c>
      <c r="F14" s="26">
        <f t="shared" si="1"/>
        <v>8.5714285714285685E-5</v>
      </c>
    </row>
    <row r="15" spans="1:6" x14ac:dyDescent="0.25">
      <c r="A15" s="25" t="s">
        <v>179</v>
      </c>
      <c r="B15" s="25">
        <v>4.4850000000000001E-2</v>
      </c>
      <c r="C15" s="25">
        <v>4.5519999999999998E-2</v>
      </c>
      <c r="D15" s="25">
        <f t="shared" si="0"/>
        <v>6.6999999999999699E-4</v>
      </c>
      <c r="E15" s="25">
        <v>13</v>
      </c>
      <c r="F15" s="26">
        <f t="shared" si="1"/>
        <v>5.1538461538461306E-5</v>
      </c>
    </row>
    <row r="16" spans="1:6" x14ac:dyDescent="0.25">
      <c r="A16" s="25" t="s">
        <v>90</v>
      </c>
      <c r="B16" s="25">
        <v>4.7539999999999999E-2</v>
      </c>
      <c r="C16" s="25">
        <v>4.8559999999999999E-2</v>
      </c>
      <c r="D16" s="25">
        <f t="shared" si="0"/>
        <v>1.0200000000000001E-3</v>
      </c>
      <c r="E16" s="25">
        <v>14</v>
      </c>
      <c r="F16" s="26">
        <f t="shared" si="1"/>
        <v>7.285714285714286E-5</v>
      </c>
    </row>
    <row r="17" spans="1:6" x14ac:dyDescent="0.25">
      <c r="A17" s="25" t="s">
        <v>91</v>
      </c>
      <c r="B17" s="25">
        <v>5.423E-2</v>
      </c>
      <c r="C17" s="25">
        <v>5.543E-2</v>
      </c>
      <c r="D17" s="25">
        <f t="shared" si="0"/>
        <v>1.1999999999999997E-3</v>
      </c>
      <c r="E17" s="25">
        <v>14</v>
      </c>
      <c r="F17" s="26">
        <f t="shared" si="1"/>
        <v>8.5714285714285685E-5</v>
      </c>
    </row>
    <row r="18" spans="1:6" x14ac:dyDescent="0.25">
      <c r="A18" s="25" t="s">
        <v>92</v>
      </c>
      <c r="B18" s="25">
        <v>5.756E-2</v>
      </c>
      <c r="C18" s="25">
        <v>5.8659999999999997E-2</v>
      </c>
      <c r="D18" s="25">
        <f t="shared" si="0"/>
        <v>1.0999999999999968E-3</v>
      </c>
      <c r="E18" s="25">
        <v>17</v>
      </c>
      <c r="F18" s="26">
        <f t="shared" si="1"/>
        <v>6.4705882352940995E-5</v>
      </c>
    </row>
    <row r="19" spans="1:6" x14ac:dyDescent="0.25">
      <c r="A19" s="25" t="s">
        <v>93</v>
      </c>
      <c r="B19" s="25">
        <v>5.5059999999999998E-2</v>
      </c>
      <c r="C19" s="25">
        <v>5.6090000000000001E-2</v>
      </c>
      <c r="D19" s="25">
        <f t="shared" si="0"/>
        <v>1.0300000000000031E-3</v>
      </c>
      <c r="E19" s="25">
        <v>15</v>
      </c>
      <c r="F19" s="26">
        <f t="shared" si="1"/>
        <v>6.8666666666666881E-5</v>
      </c>
    </row>
    <row r="20" spans="1:6" x14ac:dyDescent="0.25">
      <c r="A20" s="25" t="s">
        <v>94</v>
      </c>
      <c r="B20" s="25">
        <v>4.4150000000000002E-2</v>
      </c>
      <c r="C20" s="25">
        <v>4.5370000000000001E-2</v>
      </c>
      <c r="D20" s="25">
        <f t="shared" si="0"/>
        <v>1.2199999999999989E-3</v>
      </c>
      <c r="E20" s="25">
        <v>14</v>
      </c>
      <c r="F20" s="26">
        <f t="shared" si="1"/>
        <v>8.7142857142857058E-5</v>
      </c>
    </row>
    <row r="21" spans="1:6" x14ac:dyDescent="0.25">
      <c r="A21" s="25" t="s">
        <v>95</v>
      </c>
      <c r="B21" s="25">
        <v>4.9090000000000002E-2</v>
      </c>
      <c r="C21" s="25">
        <v>4.9959999999999997E-2</v>
      </c>
      <c r="D21" s="25">
        <f t="shared" si="0"/>
        <v>8.6999999999999578E-4</v>
      </c>
      <c r="E21" s="25">
        <v>14</v>
      </c>
      <c r="F21" s="26">
        <f t="shared" si="1"/>
        <v>6.2142857142856843E-5</v>
      </c>
    </row>
    <row r="22" spans="1:6" x14ac:dyDescent="0.25">
      <c r="A22" s="25" t="s">
        <v>99</v>
      </c>
      <c r="B22" s="25">
        <v>5.1049999999999998E-2</v>
      </c>
      <c r="C22" s="25">
        <v>5.2319999999999998E-2</v>
      </c>
      <c r="D22" s="25">
        <f t="shared" si="0"/>
        <v>1.2700000000000003E-3</v>
      </c>
      <c r="E22" s="25">
        <v>15</v>
      </c>
      <c r="F22" s="26">
        <f t="shared" si="1"/>
        <v>8.4666666666666687E-5</v>
      </c>
    </row>
    <row r="23" spans="1:6" x14ac:dyDescent="0.25">
      <c r="A23" s="25" t="s">
        <v>100</v>
      </c>
      <c r="B23" s="25">
        <v>4.6460000000000001E-2</v>
      </c>
      <c r="C23" s="25">
        <v>4.743E-2</v>
      </c>
      <c r="D23" s="25">
        <f t="shared" si="0"/>
        <v>9.6999999999999864E-4</v>
      </c>
      <c r="E23" s="25">
        <v>15</v>
      </c>
      <c r="F23" s="26">
        <f t="shared" si="1"/>
        <v>6.4666666666666581E-5</v>
      </c>
    </row>
    <row r="24" spans="1:6" x14ac:dyDescent="0.25">
      <c r="A24" s="25" t="s">
        <v>101</v>
      </c>
      <c r="B24" s="25">
        <v>4.5609999999999998E-2</v>
      </c>
      <c r="C24" s="25">
        <v>4.7079999999999997E-2</v>
      </c>
      <c r="D24" s="25">
        <f t="shared" si="0"/>
        <v>1.4699999999999991E-3</v>
      </c>
      <c r="E24" s="25">
        <v>15</v>
      </c>
      <c r="F24" s="26">
        <f t="shared" si="1"/>
        <v>9.7999999999999943E-5</v>
      </c>
    </row>
  </sheetData>
  <pageMargins left="0.75" right="0.75" top="1" bottom="1" header="0.5" footer="0.5"/>
  <pageSetup orientation="portrait" horizontalDpi="4294967292" verticalDpi="429496729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CC"/>
  </sheetPr>
  <dimension ref="A1:O52"/>
  <sheetViews>
    <sheetView topLeftCell="C27" workbookViewId="0">
      <selection activeCell="C27" sqref="C27"/>
    </sheetView>
  </sheetViews>
  <sheetFormatPr defaultColWidth="11" defaultRowHeight="15.75" x14ac:dyDescent="0.25"/>
  <cols>
    <col min="1" max="1" width="13.125" customWidth="1"/>
    <col min="2" max="2" width="22.5" customWidth="1"/>
    <col min="5" max="5" width="15.125" customWidth="1"/>
  </cols>
  <sheetData>
    <row r="1" spans="1:10" x14ac:dyDescent="0.25">
      <c r="D1" t="s">
        <v>102</v>
      </c>
      <c r="E1">
        <v>22</v>
      </c>
      <c r="F1">
        <v>21</v>
      </c>
    </row>
    <row r="3" spans="1:10" x14ac:dyDescent="0.25">
      <c r="A3" t="s">
        <v>75</v>
      </c>
      <c r="B3" t="s">
        <v>103</v>
      </c>
      <c r="C3" t="s">
        <v>104</v>
      </c>
      <c r="D3" t="s">
        <v>105</v>
      </c>
      <c r="E3" t="s">
        <v>106</v>
      </c>
    </row>
    <row r="4" spans="1:10" x14ac:dyDescent="0.25">
      <c r="A4" t="s">
        <v>108</v>
      </c>
      <c r="B4">
        <v>0</v>
      </c>
      <c r="D4">
        <v>0</v>
      </c>
      <c r="E4">
        <v>0</v>
      </c>
      <c r="G4">
        <v>0</v>
      </c>
    </row>
    <row r="5" spans="1:10" x14ac:dyDescent="0.25">
      <c r="A5" t="s">
        <v>109</v>
      </c>
      <c r="D5">
        <v>0</v>
      </c>
      <c r="E5">
        <v>0</v>
      </c>
      <c r="G5">
        <v>0</v>
      </c>
    </row>
    <row r="6" spans="1:10" x14ac:dyDescent="0.25">
      <c r="A6" t="s">
        <v>81</v>
      </c>
      <c r="B6">
        <v>606</v>
      </c>
      <c r="C6" s="4">
        <f>(B6*391)/(2220000*49.2)*1000/'Esc Masses 6.0 18'!D4</f>
        <v>2126.8219438951146</v>
      </c>
      <c r="D6" s="5">
        <f>(B6*391)/(2220000*49.2)*1000/'Esc Masses 6.0 18'!E4</f>
        <v>0.14462389218486782</v>
      </c>
      <c r="E6" s="4">
        <f>AVERAGE(C6:C8)</f>
        <v>1533.9151669154344</v>
      </c>
      <c r="F6" s="20">
        <f>STDEV(C6:C8)/E6</f>
        <v>0.33475497296301543</v>
      </c>
      <c r="G6">
        <v>3</v>
      </c>
      <c r="I6" t="s">
        <v>110</v>
      </c>
      <c r="J6" t="s">
        <v>106</v>
      </c>
    </row>
    <row r="7" spans="1:10" x14ac:dyDescent="0.25">
      <c r="A7" t="s">
        <v>82</v>
      </c>
      <c r="B7">
        <v>386</v>
      </c>
      <c r="C7" s="4">
        <f>(B7*391)/(2220000*49.2)*1000/'Esc Masses 6.0 18'!D5</f>
        <v>1233.7522627156818</v>
      </c>
      <c r="D7" s="5">
        <f>(B7*391)/(2220000*49.2)*1000/'Esc Masses 6.0 18'!E5</f>
        <v>8.6362658390097422E-2</v>
      </c>
      <c r="G7">
        <v>3</v>
      </c>
      <c r="I7">
        <v>3</v>
      </c>
    </row>
    <row r="8" spans="1:10" x14ac:dyDescent="0.25">
      <c r="A8" t="s">
        <v>83</v>
      </c>
      <c r="B8">
        <v>475</v>
      </c>
      <c r="C8" s="4">
        <f>(B8*391)/(2220000*49.2)*1000/'Esc Masses 6.0 18'!D6</f>
        <v>1241.1712941355072</v>
      </c>
      <c r="D8" s="5">
        <f>(B8*391)/(2220000*49.2)*1000/'Esc Masses 6.0 18'!E6</f>
        <v>0.10627529206035305</v>
      </c>
      <c r="G8">
        <v>3</v>
      </c>
      <c r="I8">
        <v>6</v>
      </c>
    </row>
    <row r="9" spans="1:10" x14ac:dyDescent="0.25">
      <c r="A9" t="s">
        <v>84</v>
      </c>
      <c r="B9">
        <v>649</v>
      </c>
      <c r="C9" s="4">
        <f>(B9*391)/(2220000*49.2)*1000/'Esc Masses 6.0 18'!D7</f>
        <v>1773.50362837237</v>
      </c>
      <c r="D9" s="5">
        <f>(B9*391)/(2220000*49.2)*1000/'Esc Masses 6.0 18'!E7</f>
        <v>0.16594926808341445</v>
      </c>
      <c r="E9" s="4">
        <f>AVERAGE(C9:C11)</f>
        <v>1716.1483814679361</v>
      </c>
      <c r="F9" s="20">
        <f>STDEV(C9:C11)/E9</f>
        <v>0.13779355068427107</v>
      </c>
      <c r="G9">
        <v>6</v>
      </c>
      <c r="I9">
        <v>12</v>
      </c>
    </row>
    <row r="10" spans="1:10" x14ac:dyDescent="0.25">
      <c r="A10" t="s">
        <v>85</v>
      </c>
      <c r="B10">
        <v>745</v>
      </c>
      <c r="C10" s="4">
        <f>(B10*391)/(2220000*49.2)*1000/'Esc Masses 6.0 18'!D8</f>
        <v>1918.6694151600339</v>
      </c>
      <c r="D10" s="5">
        <f>(B10*391)/(2220000*49.2)*1000/'Esc Masses 6.0 18'!E8</f>
        <v>0.19049646336231701</v>
      </c>
      <c r="G10">
        <v>6</v>
      </c>
      <c r="I10">
        <v>16</v>
      </c>
    </row>
    <row r="11" spans="1:10" x14ac:dyDescent="0.25">
      <c r="A11" t="s">
        <v>86</v>
      </c>
      <c r="B11">
        <v>598</v>
      </c>
      <c r="C11" s="4">
        <f>(B11*391)/(2220000*49.2)*1000/'Esc Masses 6.0 18'!D9</f>
        <v>1456.2721008714047</v>
      </c>
      <c r="D11" s="5">
        <f>(B11*391)/(2220000*49.2)*1000/'Esc Masses 6.0 18'!E9</f>
        <v>0.13379499926756022</v>
      </c>
      <c r="G11">
        <v>6</v>
      </c>
      <c r="I11">
        <v>24</v>
      </c>
    </row>
    <row r="12" spans="1:10" x14ac:dyDescent="0.25">
      <c r="A12" t="s">
        <v>87</v>
      </c>
      <c r="B12">
        <v>747</v>
      </c>
      <c r="C12" s="4">
        <f>(B12*391)/(2220000*49.2)*1000/'Esc Masses 6.0 18'!D10</f>
        <v>2210.0083352854922</v>
      </c>
      <c r="D12" s="5">
        <f>(B12*391)/(2220000*49.2)*1000/'Esc Masses 6.0 18'!E10</f>
        <v>0.19100786326396083</v>
      </c>
      <c r="E12" s="4">
        <f>AVERAGE(C12:C14)</f>
        <v>2111.9685689722614</v>
      </c>
      <c r="F12" s="20">
        <f>STDEV(C12:C14)/E12</f>
        <v>0.11191572713333983</v>
      </c>
      <c r="G12">
        <v>12</v>
      </c>
      <c r="I12">
        <v>36</v>
      </c>
    </row>
    <row r="13" spans="1:10" x14ac:dyDescent="0.25">
      <c r="A13" t="s">
        <v>88</v>
      </c>
      <c r="B13">
        <v>597</v>
      </c>
      <c r="C13" s="4">
        <f>(B13*391)/(2220000*49.2)*1000/'Esc Masses 6.0 18'!D11</f>
        <v>1842.3622318702198</v>
      </c>
      <c r="D13" s="5">
        <f>(B13*391)/(2220000*49.2)*1000/'Esc Masses 6.0 18'!E11</f>
        <v>0.15265287064067554</v>
      </c>
      <c r="G13">
        <v>12</v>
      </c>
    </row>
    <row r="14" spans="1:10" x14ac:dyDescent="0.25">
      <c r="A14" t="s">
        <v>89</v>
      </c>
      <c r="B14">
        <v>606</v>
      </c>
      <c r="C14" s="4">
        <f>(B14*391)/(2220000*49.2)*1000/'Esc Masses 6.0 18'!D12</f>
        <v>2283.5351397610721</v>
      </c>
      <c r="D14" s="5">
        <f>(B14*391)/(2220000*49.2)*1000/'Esc Masses 6.0 18'!E12</f>
        <v>0.14462389218486782</v>
      </c>
      <c r="G14">
        <v>12</v>
      </c>
    </row>
    <row r="15" spans="1:10" x14ac:dyDescent="0.25">
      <c r="A15" t="s">
        <v>177</v>
      </c>
      <c r="B15">
        <v>966</v>
      </c>
      <c r="C15" s="4">
        <f>(B15*391)/(2220000*49.2)*1000/'Esc Masses 6.0 18'!D13</f>
        <v>3974.8116493280372</v>
      </c>
      <c r="D15" s="5">
        <f>(B15*391)/(2220000*49.2)*1000/'Esc Masses 6.0 18'!E13</f>
        <v>0.24700615249395735</v>
      </c>
      <c r="E15" s="4">
        <f>AVERAGE(C15:C17)</f>
        <v>3331.6136082816779</v>
      </c>
      <c r="F15" s="20">
        <f>STDEV(C15:C17)/E15</f>
        <v>0.23917133332776397</v>
      </c>
      <c r="G15">
        <v>16</v>
      </c>
    </row>
    <row r="16" spans="1:10" x14ac:dyDescent="0.25">
      <c r="A16" t="s">
        <v>178</v>
      </c>
      <c r="B16">
        <v>818</v>
      </c>
      <c r="C16" s="4">
        <f>(B16*391)/(2220000*49.2)*1000/'Esc Masses 6.0 18'!D14</f>
        <v>2440.2298640103527</v>
      </c>
      <c r="D16" s="5">
        <f>(B16*391)/(2220000*49.2)*1000/'Esc Masses 6.0 18'!E14</f>
        <v>0.20916255977231588</v>
      </c>
      <c r="G16">
        <v>16</v>
      </c>
    </row>
    <row r="17" spans="1:15" x14ac:dyDescent="0.25">
      <c r="A17" t="s">
        <v>179</v>
      </c>
      <c r="B17">
        <v>670</v>
      </c>
      <c r="C17" s="4">
        <f>(B17*391)/(2220000*49.2)*1000/'Esc Masses 6.0 18'!D15</f>
        <v>3579.7993115066442</v>
      </c>
      <c r="D17" s="5">
        <f>(B17*391)/(2220000*49.2)*1000/'Esc Masses 6.0 18'!E15</f>
        <v>0.18449734913149546</v>
      </c>
      <c r="G17">
        <v>16</v>
      </c>
    </row>
    <row r="18" spans="1:15" x14ac:dyDescent="0.25">
      <c r="A18" t="s">
        <v>90</v>
      </c>
      <c r="B18">
        <v>1107</v>
      </c>
      <c r="C18" s="4">
        <f>(B18*391)/(2220000*49.2)*1000/'Esc Masses 6.0 18'!D16</f>
        <v>3885.1351351351345</v>
      </c>
      <c r="D18" s="5">
        <f>(B18*391)/(2220000*49.2)*1000/'Esc Masses 6.0 18'!E16</f>
        <v>0.28305984555984554</v>
      </c>
      <c r="E18" s="4">
        <f>AVERAGE(C18:C20)</f>
        <v>3692.8777909469004</v>
      </c>
      <c r="F18" s="20">
        <f>STDEV(C18:C20)/E18</f>
        <v>0.1167534321167924</v>
      </c>
      <c r="G18">
        <v>24</v>
      </c>
      <c r="O18" t="s">
        <v>111</v>
      </c>
    </row>
    <row r="19" spans="1:15" x14ac:dyDescent="0.25">
      <c r="A19" t="s">
        <v>91</v>
      </c>
      <c r="B19">
        <v>1339</v>
      </c>
      <c r="C19" s="4">
        <f>(B19*391)/(2220000*49.2)*1000/'Esc Masses 6.0 18'!D17</f>
        <v>3994.459398422814</v>
      </c>
      <c r="D19" s="5">
        <f>(B19*391)/(2220000*49.2)*1000/'Esc Masses 6.0 18'!E17</f>
        <v>0.34238223415052682</v>
      </c>
      <c r="G19">
        <v>24</v>
      </c>
    </row>
    <row r="20" spans="1:15" x14ac:dyDescent="0.25">
      <c r="A20" t="s">
        <v>92</v>
      </c>
      <c r="B20">
        <v>983</v>
      </c>
      <c r="C20" s="4">
        <f>(B20*391)/(2220000*49.2)*1000/'Esc Masses 6.0 18'!D18</f>
        <v>3199.0388392827513</v>
      </c>
      <c r="D20" s="5">
        <f>(B20*391)/(2220000*49.2)*1000/'Esc Masses 6.0 18'!E18</f>
        <v>0.20699663077711858</v>
      </c>
      <c r="G20">
        <v>24</v>
      </c>
    </row>
    <row r="21" spans="1:15" x14ac:dyDescent="0.25">
      <c r="A21" t="s">
        <v>93</v>
      </c>
      <c r="B21">
        <v>1496</v>
      </c>
      <c r="C21" s="4">
        <f>(B21*391)/(2220000*49.2)*1000/'Esc Masses 6.0 18'!D19</f>
        <v>5199.3978349649515</v>
      </c>
      <c r="D21" s="5">
        <f>(B21*391)/(2220000*49.2)*1000/'Esc Masses 6.0 18'!E19</f>
        <v>0.35702531800092779</v>
      </c>
      <c r="E21" s="4">
        <f>AVERAGE(C21:C23)</f>
        <v>4916.6716809259769</v>
      </c>
      <c r="F21" s="20">
        <f>STDEV(C21:C23)/E21</f>
        <v>8.6461435206712803E-2</v>
      </c>
      <c r="G21">
        <v>36</v>
      </c>
    </row>
    <row r="22" spans="1:15" x14ac:dyDescent="0.25">
      <c r="A22" t="s">
        <v>94</v>
      </c>
      <c r="B22">
        <v>1509</v>
      </c>
      <c r="C22" s="4">
        <f>(B22*391)/(2220000*49.2)*1000/'Esc Masses 6.0 18'!D20</f>
        <v>4427.8009516913999</v>
      </c>
      <c r="D22" s="5">
        <f>(B22*391)/(2220000*49.2)*1000/'Esc Masses 6.0 18'!E20</f>
        <v>0.38585122579025022</v>
      </c>
      <c r="G22">
        <v>36</v>
      </c>
    </row>
    <row r="23" spans="1:15" x14ac:dyDescent="0.25">
      <c r="A23" t="s">
        <v>95</v>
      </c>
      <c r="B23">
        <v>1245</v>
      </c>
      <c r="C23" s="4">
        <f>(B23*391)/(2220000*49.2)*1000/'Esc Masses 6.0 18'!D21</f>
        <v>5122.8162561215804</v>
      </c>
      <c r="D23" s="5">
        <f>(B23*391)/(2220000*49.2)*1000/'Esc Masses 6.0 18'!E21</f>
        <v>0.31834643877326807</v>
      </c>
      <c r="G23">
        <v>36</v>
      </c>
    </row>
    <row r="24" spans="1:15" x14ac:dyDescent="0.25">
      <c r="A24" t="s">
        <v>99</v>
      </c>
      <c r="B24">
        <v>0</v>
      </c>
      <c r="C24" s="4">
        <f>(B24*391)/(2220000*49.2)*1000/'Esc Masses 6.0 18'!D22</f>
        <v>0</v>
      </c>
      <c r="D24" s="5">
        <f>(B24*391)/(2220000*49.2)*1000/'Esc Masses 6.0 18'!E22</f>
        <v>0</v>
      </c>
      <c r="E24" s="4">
        <f>AVERAGE(C24:C25)</f>
        <v>0</v>
      </c>
      <c r="F24" s="20" t="e">
        <f>STDEV(C24:C26)/E24</f>
        <v>#DIV/0!</v>
      </c>
    </row>
    <row r="25" spans="1:15" x14ac:dyDescent="0.25">
      <c r="A25" t="s">
        <v>100</v>
      </c>
      <c r="B25">
        <v>0</v>
      </c>
      <c r="C25" s="4">
        <f>(B25*391)/(2220000*49.2)*1000/'Esc Masses 6.0 18'!D23</f>
        <v>0</v>
      </c>
      <c r="D25" s="5">
        <f>(B25*391)/(2220000*49.2)*1000/'Esc Masses 6.0 18'!E23</f>
        <v>0</v>
      </c>
    </row>
    <row r="26" spans="1:15" x14ac:dyDescent="0.25">
      <c r="A26" t="s">
        <v>101</v>
      </c>
      <c r="B26">
        <v>0</v>
      </c>
      <c r="C26" s="4">
        <f>(B26*391)/(2220000*49.2)*1000/'Esc Masses 6.0 18'!D24</f>
        <v>0</v>
      </c>
      <c r="D26" s="5">
        <f>(B26*391)/(2220000*49.2)*1000/'Esc Masses 6.0 18'!E24</f>
        <v>0</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1</v>
      </c>
      <c r="C32">
        <v>0</v>
      </c>
      <c r="D32">
        <v>0</v>
      </c>
      <c r="E32">
        <v>0</v>
      </c>
      <c r="F32">
        <v>0</v>
      </c>
      <c r="G32" s="21">
        <f t="shared" ref="G32:G38" si="0">(E32)/(SUM(B32+C32+D32+E32+F32))</f>
        <v>0</v>
      </c>
      <c r="I32" t="s">
        <v>102</v>
      </c>
      <c r="J32">
        <v>21</v>
      </c>
      <c r="L32">
        <v>0</v>
      </c>
      <c r="M32">
        <v>0</v>
      </c>
      <c r="N32">
        <v>0</v>
      </c>
      <c r="O32">
        <v>0</v>
      </c>
    </row>
    <row r="33" spans="1:15" x14ac:dyDescent="0.25">
      <c r="A33" t="s">
        <v>123</v>
      </c>
      <c r="B33">
        <v>66</v>
      </c>
      <c r="C33">
        <v>3</v>
      </c>
      <c r="D33">
        <v>17</v>
      </c>
      <c r="E33">
        <v>602</v>
      </c>
      <c r="F33">
        <v>1</v>
      </c>
      <c r="G33" s="21">
        <f t="shared" si="0"/>
        <v>0.8737300435413643</v>
      </c>
      <c r="L33">
        <v>0</v>
      </c>
      <c r="M33">
        <v>0</v>
      </c>
      <c r="N33">
        <v>0</v>
      </c>
      <c r="O33">
        <v>0</v>
      </c>
    </row>
    <row r="34" spans="1:15" x14ac:dyDescent="0.25">
      <c r="A34" t="s">
        <v>124</v>
      </c>
      <c r="B34">
        <v>139</v>
      </c>
      <c r="C34">
        <v>9</v>
      </c>
      <c r="D34">
        <v>29</v>
      </c>
      <c r="E34">
        <v>796</v>
      </c>
      <c r="F34">
        <v>1</v>
      </c>
      <c r="G34" s="21">
        <f t="shared" si="0"/>
        <v>0.81724845995893225</v>
      </c>
      <c r="L34">
        <v>0</v>
      </c>
      <c r="M34">
        <v>0</v>
      </c>
      <c r="N34">
        <v>0</v>
      </c>
      <c r="O34">
        <v>0</v>
      </c>
    </row>
    <row r="35" spans="1:15" x14ac:dyDescent="0.25">
      <c r="A35" t="s">
        <v>125</v>
      </c>
      <c r="B35">
        <v>270</v>
      </c>
      <c r="C35">
        <v>16</v>
      </c>
      <c r="D35">
        <v>34</v>
      </c>
      <c r="E35">
        <v>769</v>
      </c>
      <c r="F35">
        <v>4</v>
      </c>
      <c r="G35" s="21">
        <f t="shared" si="0"/>
        <v>0.70356816102470265</v>
      </c>
      <c r="L35">
        <v>3</v>
      </c>
      <c r="M35" s="4">
        <v>2126.8219438951146</v>
      </c>
      <c r="N35" s="4">
        <f>M35*0.87</f>
        <v>1850.3350911887496</v>
      </c>
      <c r="O35" s="4">
        <f>M35-N35</f>
        <v>276.48685270636497</v>
      </c>
    </row>
    <row r="36" spans="1:15" x14ac:dyDescent="0.25">
      <c r="A36" t="s">
        <v>180</v>
      </c>
      <c r="B36">
        <v>500</v>
      </c>
      <c r="C36">
        <v>29</v>
      </c>
      <c r="D36">
        <v>52</v>
      </c>
      <c r="E36">
        <v>1106</v>
      </c>
      <c r="F36">
        <v>4</v>
      </c>
      <c r="G36" s="21">
        <f t="shared" si="0"/>
        <v>0.65405085748078062</v>
      </c>
      <c r="L36">
        <v>3</v>
      </c>
      <c r="M36" s="4">
        <v>1233.7522627156818</v>
      </c>
      <c r="N36" s="4">
        <f t="shared" ref="N36:N37" si="1">M36*0.87</f>
        <v>1073.3644685626432</v>
      </c>
      <c r="O36" s="4">
        <f t="shared" ref="O36:O52" si="2">M36-N36</f>
        <v>160.38779415303861</v>
      </c>
    </row>
    <row r="37" spans="1:15" x14ac:dyDescent="0.25">
      <c r="A37" t="s">
        <v>126</v>
      </c>
      <c r="B37">
        <v>794</v>
      </c>
      <c r="C37">
        <v>51</v>
      </c>
      <c r="D37">
        <v>66</v>
      </c>
      <c r="E37">
        <v>1083</v>
      </c>
      <c r="F37">
        <v>5</v>
      </c>
      <c r="G37" s="21">
        <f t="shared" si="0"/>
        <v>0.54177088544272134</v>
      </c>
      <c r="L37">
        <v>3</v>
      </c>
      <c r="M37" s="4">
        <v>1241.1712941355072</v>
      </c>
      <c r="N37" s="4">
        <f t="shared" si="1"/>
        <v>1079.8190258978912</v>
      </c>
      <c r="O37" s="4">
        <f t="shared" si="2"/>
        <v>161.35226823761604</v>
      </c>
    </row>
    <row r="38" spans="1:15" x14ac:dyDescent="0.25">
      <c r="A38" t="s">
        <v>127</v>
      </c>
      <c r="B38">
        <v>1314</v>
      </c>
      <c r="C38">
        <v>90</v>
      </c>
      <c r="D38">
        <v>78</v>
      </c>
      <c r="E38">
        <v>1045</v>
      </c>
      <c r="F38">
        <v>10</v>
      </c>
      <c r="G38" s="21">
        <f t="shared" si="0"/>
        <v>0.41190382341348047</v>
      </c>
      <c r="L38">
        <v>6</v>
      </c>
      <c r="M38" s="4">
        <v>1773.50362837237</v>
      </c>
      <c r="N38" s="4">
        <f>M38*0.82</f>
        <v>1454.2729752653433</v>
      </c>
      <c r="O38" s="4">
        <f t="shared" si="2"/>
        <v>319.23065310702668</v>
      </c>
    </row>
    <row r="39" spans="1:15" x14ac:dyDescent="0.25">
      <c r="L39">
        <v>6</v>
      </c>
      <c r="M39" s="4">
        <v>1918.6694151600339</v>
      </c>
      <c r="N39" s="4">
        <f t="shared" ref="N39:N40" si="3">M39*0.82</f>
        <v>1573.3089204312278</v>
      </c>
      <c r="O39" s="4">
        <f t="shared" si="2"/>
        <v>345.36049472880609</v>
      </c>
    </row>
    <row r="40" spans="1:15" x14ac:dyDescent="0.25">
      <c r="L40">
        <v>6</v>
      </c>
      <c r="M40" s="4">
        <v>1456.2721008714047</v>
      </c>
      <c r="N40" s="4">
        <f t="shared" si="3"/>
        <v>1194.1431227145517</v>
      </c>
      <c r="O40" s="4">
        <f t="shared" si="2"/>
        <v>262.12897815685301</v>
      </c>
    </row>
    <row r="41" spans="1:15" x14ac:dyDescent="0.25">
      <c r="L41">
        <v>12</v>
      </c>
      <c r="M41" s="4">
        <v>2210.0083352854922</v>
      </c>
      <c r="N41" s="4">
        <f>M41*0.7</f>
        <v>1547.0058346998444</v>
      </c>
      <c r="O41" s="4">
        <f t="shared" si="2"/>
        <v>663.00250058564779</v>
      </c>
    </row>
    <row r="42" spans="1:15" x14ac:dyDescent="0.25">
      <c r="L42">
        <v>12</v>
      </c>
      <c r="M42" s="4">
        <v>1842.3622318702198</v>
      </c>
      <c r="N42" s="4">
        <f t="shared" ref="N42:N43" si="4">M42*0.7</f>
        <v>1289.6535623091538</v>
      </c>
      <c r="O42" s="4">
        <f t="shared" si="2"/>
        <v>552.70866956106602</v>
      </c>
    </row>
    <row r="43" spans="1:15" x14ac:dyDescent="0.25">
      <c r="L43">
        <v>12</v>
      </c>
      <c r="M43" s="4">
        <v>2283.5351397610721</v>
      </c>
      <c r="N43" s="4">
        <f t="shared" si="4"/>
        <v>1598.4745978327503</v>
      </c>
      <c r="O43" s="4">
        <f t="shared" si="2"/>
        <v>685.06054192832175</v>
      </c>
    </row>
    <row r="44" spans="1:15" x14ac:dyDescent="0.25">
      <c r="L44">
        <v>16</v>
      </c>
      <c r="M44" s="4">
        <v>3974.8116493280372</v>
      </c>
      <c r="N44" s="4">
        <f>M44*0.65</f>
        <v>2583.6275720632243</v>
      </c>
      <c r="O44" s="4">
        <f t="shared" si="2"/>
        <v>1391.1840772648129</v>
      </c>
    </row>
    <row r="45" spans="1:15" x14ac:dyDescent="0.25">
      <c r="L45">
        <v>16</v>
      </c>
      <c r="M45" s="4">
        <v>2440.2298640103527</v>
      </c>
      <c r="N45" s="4">
        <f t="shared" ref="N45:N46" si="5">M45*0.65</f>
        <v>1586.1494116067292</v>
      </c>
      <c r="O45" s="4">
        <f t="shared" si="2"/>
        <v>854.08045240362344</v>
      </c>
    </row>
    <row r="46" spans="1:15" x14ac:dyDescent="0.25">
      <c r="L46">
        <v>16</v>
      </c>
      <c r="M46" s="4">
        <v>3579.7993115066442</v>
      </c>
      <c r="N46" s="4">
        <f t="shared" si="5"/>
        <v>2326.8695524793188</v>
      </c>
      <c r="O46" s="4">
        <f t="shared" si="2"/>
        <v>1252.9297590273254</v>
      </c>
    </row>
    <row r="47" spans="1:15" x14ac:dyDescent="0.25">
      <c r="L47">
        <v>24</v>
      </c>
      <c r="M47" s="4">
        <v>3885.1351351351345</v>
      </c>
      <c r="N47" s="4">
        <f>M47*0.54</f>
        <v>2097.9729729729729</v>
      </c>
      <c r="O47" s="4">
        <f t="shared" si="2"/>
        <v>1787.1621621621616</v>
      </c>
    </row>
    <row r="48" spans="1:15" x14ac:dyDescent="0.25">
      <c r="L48">
        <v>24</v>
      </c>
      <c r="M48" s="4">
        <v>3994.459398422814</v>
      </c>
      <c r="N48" s="4">
        <f t="shared" ref="N48:N49" si="6">M48*0.54</f>
        <v>2157.0080751483197</v>
      </c>
      <c r="O48" s="4">
        <f t="shared" si="2"/>
        <v>1837.4513232744944</v>
      </c>
    </row>
    <row r="49" spans="12:15" x14ac:dyDescent="0.25">
      <c r="L49">
        <v>24</v>
      </c>
      <c r="M49" s="4">
        <v>3199.0388392827513</v>
      </c>
      <c r="N49" s="4">
        <f t="shared" si="6"/>
        <v>1727.4809732126857</v>
      </c>
      <c r="O49" s="4">
        <f t="shared" si="2"/>
        <v>1471.5578660700655</v>
      </c>
    </row>
    <row r="50" spans="12:15" x14ac:dyDescent="0.25">
      <c r="L50">
        <v>36</v>
      </c>
      <c r="M50" s="4">
        <v>5199.3978349649515</v>
      </c>
      <c r="N50" s="4">
        <f>M50*0.41</f>
        <v>2131.7531123356298</v>
      </c>
      <c r="O50" s="4">
        <f t="shared" si="2"/>
        <v>3067.6447226293217</v>
      </c>
    </row>
    <row r="51" spans="12:15" x14ac:dyDescent="0.25">
      <c r="L51">
        <v>36</v>
      </c>
      <c r="M51" s="4">
        <v>4427.8009516913999</v>
      </c>
      <c r="N51" s="4">
        <f t="shared" ref="N51:N52" si="7">M51*0.41</f>
        <v>1815.3983901934739</v>
      </c>
      <c r="O51" s="4">
        <f t="shared" si="2"/>
        <v>2612.4025614979259</v>
      </c>
    </row>
    <row r="52" spans="12:15" x14ac:dyDescent="0.25">
      <c r="L52">
        <v>36</v>
      </c>
      <c r="M52" s="4">
        <v>5122.8162561215804</v>
      </c>
      <c r="N52" s="4">
        <f t="shared" si="7"/>
        <v>2100.3546650098478</v>
      </c>
      <c r="O52" s="4">
        <f t="shared" si="2"/>
        <v>3022.4615911117326</v>
      </c>
    </row>
  </sheetData>
  <pageMargins left="0.75" right="0.75" top="1" bottom="1" header="0.5" footer="0.5"/>
  <pageSetup orientation="portrait" horizontalDpi="4294967292" verticalDpi="4294967292"/>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CC"/>
  </sheetPr>
  <dimension ref="A1:J43"/>
  <sheetViews>
    <sheetView topLeftCell="A2" workbookViewId="0">
      <selection activeCell="C27" sqref="C27"/>
    </sheetView>
  </sheetViews>
  <sheetFormatPr defaultColWidth="11" defaultRowHeight="15.75" x14ac:dyDescent="0.25"/>
  <cols>
    <col min="2" max="2" width="22.625" customWidth="1"/>
    <col min="3" max="3" width="9.125" customWidth="1"/>
    <col min="6" max="6" width="12" customWidth="1"/>
  </cols>
  <sheetData>
    <row r="1" spans="1:10" x14ac:dyDescent="0.25">
      <c r="C1" t="s">
        <v>102</v>
      </c>
      <c r="D1">
        <v>22</v>
      </c>
    </row>
    <row r="3" spans="1:10" x14ac:dyDescent="0.25">
      <c r="A3" t="s">
        <v>75</v>
      </c>
      <c r="B3" t="s">
        <v>129</v>
      </c>
      <c r="C3" t="s">
        <v>130</v>
      </c>
      <c r="D3" t="s">
        <v>131</v>
      </c>
      <c r="E3" t="s">
        <v>132</v>
      </c>
      <c r="F3" t="s">
        <v>133</v>
      </c>
      <c r="H3" t="s">
        <v>134</v>
      </c>
    </row>
    <row r="4" spans="1:10" x14ac:dyDescent="0.25">
      <c r="A4" t="s">
        <v>136</v>
      </c>
      <c r="B4">
        <v>0</v>
      </c>
      <c r="C4">
        <f>B4/10</f>
        <v>0</v>
      </c>
      <c r="D4" s="4">
        <f t="shared" ref="D4:D31" si="0">(C4*391*1000)/(2220000*49.2)</f>
        <v>0</v>
      </c>
      <c r="E4" s="4"/>
      <c r="J4" s="19"/>
    </row>
    <row r="5" spans="1:10" x14ac:dyDescent="0.25">
      <c r="A5" t="s">
        <v>137</v>
      </c>
      <c r="B5">
        <v>216</v>
      </c>
      <c r="C5">
        <f>B5/2000</f>
        <v>0.108</v>
      </c>
      <c r="D5" s="2">
        <f t="shared" si="0"/>
        <v>3.8661832564271589E-4</v>
      </c>
      <c r="E5" s="4">
        <f>D5*1000*1000</f>
        <v>386.61832564271594</v>
      </c>
      <c r="H5" s="4">
        <f>AVERAGE(F11,F14,F17,F20,F23,F26)</f>
        <v>258.8393779958821</v>
      </c>
    </row>
    <row r="6" spans="1:10" x14ac:dyDescent="0.25">
      <c r="A6" t="s">
        <v>138</v>
      </c>
      <c r="B6">
        <v>158</v>
      </c>
      <c r="C6">
        <f t="shared" ref="C6:C31" si="1">B6/2000</f>
        <v>7.9000000000000001E-2</v>
      </c>
      <c r="D6" s="2">
        <f t="shared" si="0"/>
        <v>2.8280414560902364E-4</v>
      </c>
      <c r="E6" s="4">
        <f t="shared" ref="E6:E31" si="2">D6*1000*1000</f>
        <v>282.80414560902364</v>
      </c>
    </row>
    <row r="7" spans="1:10" x14ac:dyDescent="0.25">
      <c r="A7" t="s">
        <v>139</v>
      </c>
      <c r="B7">
        <v>215</v>
      </c>
      <c r="C7">
        <f t="shared" si="1"/>
        <v>0.1075</v>
      </c>
      <c r="D7" s="2">
        <f t="shared" si="0"/>
        <v>3.8482842598696259E-4</v>
      </c>
      <c r="E7" s="4">
        <f t="shared" si="2"/>
        <v>384.8284259869626</v>
      </c>
    </row>
    <row r="8" spans="1:10" x14ac:dyDescent="0.25">
      <c r="A8" t="s">
        <v>181</v>
      </c>
      <c r="B8">
        <v>183</v>
      </c>
      <c r="C8">
        <f t="shared" si="1"/>
        <v>9.1499999999999998E-2</v>
      </c>
      <c r="D8" s="2">
        <f t="shared" si="0"/>
        <v>3.2755163700285653E-4</v>
      </c>
      <c r="E8" s="4">
        <f t="shared" si="2"/>
        <v>327.55163700285658</v>
      </c>
    </row>
    <row r="9" spans="1:10" x14ac:dyDescent="0.25">
      <c r="A9" t="s">
        <v>140</v>
      </c>
      <c r="B9">
        <v>175</v>
      </c>
      <c r="C9">
        <f t="shared" si="1"/>
        <v>8.7499999999999994E-2</v>
      </c>
      <c r="D9" s="2">
        <f t="shared" si="0"/>
        <v>3.1323243975683E-4</v>
      </c>
      <c r="E9" s="4">
        <f t="shared" si="2"/>
        <v>313.23243975682999</v>
      </c>
    </row>
    <row r="10" spans="1:10" x14ac:dyDescent="0.25">
      <c r="A10" t="s">
        <v>141</v>
      </c>
      <c r="B10">
        <v>174</v>
      </c>
      <c r="C10">
        <f t="shared" si="1"/>
        <v>8.6999999999999994E-2</v>
      </c>
      <c r="D10" s="2">
        <f t="shared" si="0"/>
        <v>3.1144254010107665E-4</v>
      </c>
      <c r="E10" s="4">
        <f t="shared" si="2"/>
        <v>311.44254010107664</v>
      </c>
    </row>
    <row r="11" spans="1:10" x14ac:dyDescent="0.25">
      <c r="A11" t="s">
        <v>143</v>
      </c>
      <c r="B11">
        <v>229</v>
      </c>
      <c r="C11">
        <f t="shared" si="1"/>
        <v>0.1145</v>
      </c>
      <c r="D11" s="2">
        <f t="shared" si="0"/>
        <v>4.0988702116750899E-4</v>
      </c>
      <c r="E11" s="4">
        <f t="shared" si="2"/>
        <v>409.88702116750898</v>
      </c>
      <c r="F11" s="4">
        <f>AVERAGE(E11:E13)</f>
        <v>312.63580653824556</v>
      </c>
      <c r="G11" s="20">
        <f>STDEV(E11:E13)/F11</f>
        <v>0.27279397900121227</v>
      </c>
      <c r="H11" s="13">
        <f>E11/1000</f>
        <v>0.40988702116750897</v>
      </c>
      <c r="I11">
        <v>3</v>
      </c>
    </row>
    <row r="12" spans="1:10" x14ac:dyDescent="0.25">
      <c r="A12" t="s">
        <v>144</v>
      </c>
      <c r="B12">
        <v>155</v>
      </c>
      <c r="C12">
        <f t="shared" si="1"/>
        <v>7.7499999999999999E-2</v>
      </c>
      <c r="D12" s="2">
        <f t="shared" si="0"/>
        <v>2.7743444664176374E-4</v>
      </c>
      <c r="E12" s="4">
        <f t="shared" si="2"/>
        <v>277.43444664176377</v>
      </c>
      <c r="H12" s="13">
        <f t="shared" ref="H12:H28" si="3">E12/1000</f>
        <v>0.27743444664176375</v>
      </c>
      <c r="I12">
        <v>3</v>
      </c>
    </row>
    <row r="13" spans="1:10" x14ac:dyDescent="0.25">
      <c r="A13" t="s">
        <v>145</v>
      </c>
      <c r="B13">
        <v>140</v>
      </c>
      <c r="C13">
        <f t="shared" si="1"/>
        <v>7.0000000000000007E-2</v>
      </c>
      <c r="D13" s="2">
        <f t="shared" si="0"/>
        <v>2.5058595180546398E-4</v>
      </c>
      <c r="E13" s="4">
        <f t="shared" si="2"/>
        <v>250.58595180546399</v>
      </c>
      <c r="H13" s="13">
        <f t="shared" si="3"/>
        <v>0.250585951805464</v>
      </c>
      <c r="I13">
        <v>3</v>
      </c>
    </row>
    <row r="14" spans="1:10" x14ac:dyDescent="0.25">
      <c r="A14" t="s">
        <v>146</v>
      </c>
      <c r="B14">
        <v>157</v>
      </c>
      <c r="C14">
        <f t="shared" si="1"/>
        <v>7.85E-2</v>
      </c>
      <c r="D14" s="2">
        <f t="shared" si="0"/>
        <v>2.8101424595327034E-4</v>
      </c>
      <c r="E14" s="4">
        <f t="shared" si="2"/>
        <v>281.01424595327035</v>
      </c>
      <c r="F14" s="4">
        <f>AVERAGE(E14:E16)</f>
        <v>263.71188261432161</v>
      </c>
      <c r="G14" s="20">
        <f>STDEV(E14:E16)/F14</f>
        <v>6.7986331227677388E-2</v>
      </c>
      <c r="H14" s="13">
        <f t="shared" si="3"/>
        <v>0.28101424595327035</v>
      </c>
      <c r="I14">
        <v>6</v>
      </c>
    </row>
    <row r="15" spans="1:10" x14ac:dyDescent="0.25">
      <c r="A15" t="s">
        <v>147</v>
      </c>
      <c r="B15">
        <v>137</v>
      </c>
      <c r="C15">
        <f t="shared" si="1"/>
        <v>6.8500000000000005E-2</v>
      </c>
      <c r="D15" s="2">
        <f t="shared" si="0"/>
        <v>2.4521625283820407E-4</v>
      </c>
      <c r="E15" s="4">
        <f t="shared" si="2"/>
        <v>245.2162528382041</v>
      </c>
      <c r="H15" s="13">
        <f t="shared" si="3"/>
        <v>0.24521625283820409</v>
      </c>
      <c r="I15">
        <v>6</v>
      </c>
    </row>
    <row r="16" spans="1:10" x14ac:dyDescent="0.25">
      <c r="A16" t="s">
        <v>148</v>
      </c>
      <c r="B16">
        <v>148</v>
      </c>
      <c r="C16">
        <f t="shared" si="1"/>
        <v>7.3999999999999996E-2</v>
      </c>
      <c r="D16" s="2">
        <f t="shared" si="0"/>
        <v>2.6490514905149046E-4</v>
      </c>
      <c r="E16" s="4">
        <f t="shared" si="2"/>
        <v>264.90514905149041</v>
      </c>
      <c r="H16" s="13">
        <f t="shared" si="3"/>
        <v>0.26490514905149043</v>
      </c>
      <c r="I16">
        <v>6</v>
      </c>
    </row>
    <row r="17" spans="1:9" x14ac:dyDescent="0.25">
      <c r="A17" t="s">
        <v>149</v>
      </c>
      <c r="B17">
        <v>202</v>
      </c>
      <c r="C17">
        <f t="shared" si="1"/>
        <v>0.10100000000000001</v>
      </c>
      <c r="D17" s="2">
        <f t="shared" si="0"/>
        <v>3.615597304621695E-4</v>
      </c>
      <c r="E17" s="4">
        <f t="shared" si="2"/>
        <v>361.55973046216951</v>
      </c>
      <c r="F17" s="4">
        <f>AVERAGE(E17:E19)</f>
        <v>262.51861617715275</v>
      </c>
      <c r="G17" s="20">
        <f>STDEV(E17:E19)/F17</f>
        <v>0.32927888905433966</v>
      </c>
      <c r="H17" s="13">
        <f t="shared" si="3"/>
        <v>0.36155973046216949</v>
      </c>
      <c r="I17">
        <v>12</v>
      </c>
    </row>
    <row r="18" spans="1:9" x14ac:dyDescent="0.25">
      <c r="A18" t="s">
        <v>150</v>
      </c>
      <c r="B18">
        <v>113</v>
      </c>
      <c r="C18">
        <f t="shared" si="1"/>
        <v>5.6500000000000002E-2</v>
      </c>
      <c r="D18" s="2">
        <f t="shared" si="0"/>
        <v>2.0225866110012451E-4</v>
      </c>
      <c r="E18" s="4">
        <f t="shared" si="2"/>
        <v>202.25866110012453</v>
      </c>
      <c r="H18" s="13">
        <f t="shared" si="3"/>
        <v>0.20225866110012453</v>
      </c>
      <c r="I18">
        <v>12</v>
      </c>
    </row>
    <row r="19" spans="1:9" x14ac:dyDescent="0.25">
      <c r="A19" t="s">
        <v>151</v>
      </c>
      <c r="B19">
        <v>125</v>
      </c>
      <c r="C19">
        <f t="shared" si="1"/>
        <v>6.25E-2</v>
      </c>
      <c r="D19" s="2">
        <f t="shared" si="0"/>
        <v>2.2373745696916428E-4</v>
      </c>
      <c r="E19" s="4">
        <f t="shared" si="2"/>
        <v>223.73745696916427</v>
      </c>
      <c r="H19" s="13">
        <f t="shared" si="3"/>
        <v>0.22373745696916428</v>
      </c>
      <c r="I19">
        <v>12</v>
      </c>
    </row>
    <row r="20" spans="1:9" x14ac:dyDescent="0.25">
      <c r="A20" t="s">
        <v>182</v>
      </c>
      <c r="B20">
        <v>158</v>
      </c>
      <c r="C20">
        <f t="shared" si="1"/>
        <v>7.9000000000000001E-2</v>
      </c>
      <c r="D20" s="2">
        <f t="shared" si="0"/>
        <v>2.8280414560902364E-4</v>
      </c>
      <c r="E20" s="4">
        <f t="shared" si="2"/>
        <v>282.80414560902364</v>
      </c>
      <c r="F20" s="4">
        <f>AVERAGE(E20:E22)</f>
        <v>241.63645352669741</v>
      </c>
      <c r="G20" s="20">
        <f>STDEV(E20:E22)/F20</f>
        <v>0.15765775299105772</v>
      </c>
      <c r="H20" s="13">
        <f t="shared" si="3"/>
        <v>0.28280414560902362</v>
      </c>
      <c r="I20">
        <v>16</v>
      </c>
    </row>
    <row r="21" spans="1:9" x14ac:dyDescent="0.25">
      <c r="A21" t="s">
        <v>183</v>
      </c>
      <c r="B21">
        <v>116</v>
      </c>
      <c r="C21">
        <f t="shared" si="1"/>
        <v>5.8000000000000003E-2</v>
      </c>
      <c r="D21" s="2">
        <f t="shared" si="0"/>
        <v>2.0762836006738445E-4</v>
      </c>
      <c r="E21" s="4">
        <f t="shared" si="2"/>
        <v>207.62836006738445</v>
      </c>
      <c r="H21" s="13">
        <f t="shared" si="3"/>
        <v>0.20762836006738444</v>
      </c>
      <c r="I21">
        <v>16</v>
      </c>
    </row>
    <row r="22" spans="1:9" x14ac:dyDescent="0.25">
      <c r="A22" t="s">
        <v>184</v>
      </c>
      <c r="B22">
        <v>131</v>
      </c>
      <c r="C22">
        <f t="shared" si="1"/>
        <v>6.5500000000000003E-2</v>
      </c>
      <c r="D22" s="2">
        <f t="shared" si="0"/>
        <v>2.3447685490368418E-4</v>
      </c>
      <c r="E22" s="4">
        <f t="shared" si="2"/>
        <v>234.47685490368417</v>
      </c>
      <c r="H22" s="13">
        <f t="shared" si="3"/>
        <v>0.23447685490368417</v>
      </c>
      <c r="I22">
        <v>16</v>
      </c>
    </row>
    <row r="23" spans="1:9" x14ac:dyDescent="0.25">
      <c r="A23" t="s">
        <v>152</v>
      </c>
      <c r="B23">
        <v>143</v>
      </c>
      <c r="C23">
        <f t="shared" si="1"/>
        <v>7.1499999999999994E-2</v>
      </c>
      <c r="D23" s="2">
        <f t="shared" si="0"/>
        <v>2.5595565077272394E-4</v>
      </c>
      <c r="E23" s="4">
        <f t="shared" si="2"/>
        <v>255.95565077272391</v>
      </c>
      <c r="F23" s="4">
        <f>AVERAGE(E23:E25)</f>
        <v>230.30042237359308</v>
      </c>
      <c r="G23" s="20">
        <f>STDEV(E23:E25)/F23</f>
        <v>0.1026181467375044</v>
      </c>
      <c r="H23" s="13">
        <f t="shared" si="3"/>
        <v>0.25595565077272392</v>
      </c>
      <c r="I23">
        <v>24</v>
      </c>
    </row>
    <row r="24" spans="1:9" x14ac:dyDescent="0.25">
      <c r="A24" t="s">
        <v>153</v>
      </c>
      <c r="B24">
        <v>126</v>
      </c>
      <c r="C24">
        <f t="shared" si="1"/>
        <v>6.3E-2</v>
      </c>
      <c r="D24" s="2">
        <f t="shared" si="0"/>
        <v>2.2552735662491761E-4</v>
      </c>
      <c r="E24" s="4">
        <f t="shared" si="2"/>
        <v>225.52735662491762</v>
      </c>
      <c r="H24" s="13">
        <f t="shared" si="3"/>
        <v>0.2255273566249176</v>
      </c>
      <c r="I24">
        <v>24</v>
      </c>
    </row>
    <row r="25" spans="1:9" x14ac:dyDescent="0.25">
      <c r="A25" t="s">
        <v>154</v>
      </c>
      <c r="B25">
        <v>117</v>
      </c>
      <c r="C25">
        <f t="shared" si="1"/>
        <v>5.8500000000000003E-2</v>
      </c>
      <c r="D25" s="2">
        <f t="shared" si="0"/>
        <v>2.0941825972313778E-4</v>
      </c>
      <c r="E25" s="4">
        <f t="shared" si="2"/>
        <v>209.41825972313777</v>
      </c>
      <c r="H25" s="13">
        <f t="shared" si="3"/>
        <v>0.20941825972313777</v>
      </c>
      <c r="I25">
        <v>24</v>
      </c>
    </row>
    <row r="26" spans="1:9" x14ac:dyDescent="0.25">
      <c r="A26" t="s">
        <v>155</v>
      </c>
      <c r="B26">
        <v>134</v>
      </c>
      <c r="C26">
        <f t="shared" si="1"/>
        <v>6.7000000000000004E-2</v>
      </c>
      <c r="D26" s="2">
        <f t="shared" si="0"/>
        <v>2.3984655387094414E-4</v>
      </c>
      <c r="E26" s="4">
        <f t="shared" si="2"/>
        <v>239.84655387094415</v>
      </c>
      <c r="F26" s="4">
        <f>AVERAGE(E26:E28)</f>
        <v>242.23308674528189</v>
      </c>
      <c r="G26" s="20">
        <f>STDEV(E26:E28)/F26</f>
        <v>2.3752834386682228E-2</v>
      </c>
      <c r="H26" s="13">
        <f t="shared" si="3"/>
        <v>0.23984655387094414</v>
      </c>
      <c r="I26">
        <v>36</v>
      </c>
    </row>
    <row r="27" spans="1:9" x14ac:dyDescent="0.25">
      <c r="A27" t="s">
        <v>156</v>
      </c>
      <c r="B27">
        <v>139</v>
      </c>
      <c r="C27">
        <f t="shared" si="1"/>
        <v>6.9500000000000006E-2</v>
      </c>
      <c r="D27" s="2">
        <f t="shared" si="0"/>
        <v>2.4879605214971073E-4</v>
      </c>
      <c r="E27" s="4">
        <f t="shared" si="2"/>
        <v>248.79605214971073</v>
      </c>
      <c r="H27" s="13">
        <f t="shared" si="3"/>
        <v>0.24879605214971073</v>
      </c>
      <c r="I27">
        <v>36</v>
      </c>
    </row>
    <row r="28" spans="1:9" x14ac:dyDescent="0.25">
      <c r="A28" t="s">
        <v>157</v>
      </c>
      <c r="B28">
        <v>133</v>
      </c>
      <c r="C28">
        <f t="shared" si="1"/>
        <v>6.6500000000000004E-2</v>
      </c>
      <c r="D28" s="2">
        <f t="shared" si="0"/>
        <v>2.3805665421519081E-4</v>
      </c>
      <c r="E28" s="4">
        <f t="shared" si="2"/>
        <v>238.0566542151908</v>
      </c>
      <c r="H28" s="13">
        <f t="shared" si="3"/>
        <v>0.23805665421519082</v>
      </c>
      <c r="I28">
        <v>36</v>
      </c>
    </row>
    <row r="29" spans="1:9" x14ac:dyDescent="0.25">
      <c r="A29" t="s">
        <v>99</v>
      </c>
      <c r="B29">
        <v>3</v>
      </c>
      <c r="C29">
        <f t="shared" si="1"/>
        <v>1.5E-3</v>
      </c>
      <c r="D29" s="2">
        <f t="shared" si="0"/>
        <v>5.3696989672599432E-6</v>
      </c>
      <c r="E29" s="4">
        <f t="shared" si="2"/>
        <v>5.3696989672599429</v>
      </c>
      <c r="F29" s="4">
        <f>AVERAGE(E29:E31)</f>
        <v>3.5797993115066293</v>
      </c>
    </row>
    <row r="30" spans="1:9" x14ac:dyDescent="0.25">
      <c r="A30" t="s">
        <v>100</v>
      </c>
      <c r="B30">
        <v>2</v>
      </c>
      <c r="C30">
        <f t="shared" si="1"/>
        <v>1E-3</v>
      </c>
      <c r="D30" s="2">
        <f t="shared" si="0"/>
        <v>3.5797993115066288E-6</v>
      </c>
      <c r="E30" s="4">
        <f t="shared" si="2"/>
        <v>3.5797993115066289</v>
      </c>
    </row>
    <row r="31" spans="1:9" x14ac:dyDescent="0.25">
      <c r="A31" t="s">
        <v>101</v>
      </c>
      <c r="B31">
        <v>1</v>
      </c>
      <c r="C31">
        <f t="shared" si="1"/>
        <v>5.0000000000000001E-4</v>
      </c>
      <c r="D31" s="2">
        <f t="shared" si="0"/>
        <v>1.7898996557533144E-6</v>
      </c>
      <c r="E31" s="4">
        <f t="shared" si="2"/>
        <v>1.7898996557533144</v>
      </c>
    </row>
    <row r="32" spans="1:9" x14ac:dyDescent="0.25">
      <c r="D32" s="2"/>
      <c r="E32" s="4"/>
    </row>
    <row r="33" spans="1:5" x14ac:dyDescent="0.25">
      <c r="D33" s="2"/>
      <c r="E33" s="4"/>
    </row>
    <row r="34" spans="1:5" x14ac:dyDescent="0.25">
      <c r="A34" s="14" t="s">
        <v>164</v>
      </c>
      <c r="B34" s="14">
        <f t="array" ref="B34:C38">LINEST(E11:E28,I11:I28,TRUE,TRUE)</f>
        <v>-1.7670594791237739</v>
      </c>
      <c r="C34" s="15">
        <v>287.40683957504979</v>
      </c>
      <c r="D34" s="16" t="s">
        <v>165</v>
      </c>
      <c r="E34" s="17"/>
    </row>
    <row r="35" spans="1:5" x14ac:dyDescent="0.25">
      <c r="A35" s="14" t="s">
        <v>166</v>
      </c>
      <c r="B35" s="14">
        <v>1.0569957442299545</v>
      </c>
      <c r="C35" s="15">
        <v>20.771154227650207</v>
      </c>
      <c r="D35" s="16" t="s">
        <v>166</v>
      </c>
      <c r="E35" s="17"/>
    </row>
    <row r="36" spans="1:5" x14ac:dyDescent="0.25">
      <c r="A36" s="14" t="s">
        <v>167</v>
      </c>
      <c r="B36" s="14">
        <v>0.14870219805054716</v>
      </c>
      <c r="C36" s="15">
        <v>50.098699259151516</v>
      </c>
      <c r="D36" s="16" t="s">
        <v>168</v>
      </c>
      <c r="E36" s="17"/>
    </row>
    <row r="37" spans="1:5" x14ac:dyDescent="0.25">
      <c r="A37" s="14" t="s">
        <v>169</v>
      </c>
      <c r="B37" s="14">
        <v>2.7948329754409791</v>
      </c>
      <c r="C37" s="15">
        <v>16</v>
      </c>
      <c r="D37" s="16" t="s">
        <v>170</v>
      </c>
      <c r="E37" s="17"/>
    </row>
    <row r="38" spans="1:5" x14ac:dyDescent="0.25">
      <c r="A38" s="14" t="s">
        <v>171</v>
      </c>
      <c r="B38" s="14">
        <v>7014.6944590029962</v>
      </c>
      <c r="C38" s="15">
        <v>40158.074679342535</v>
      </c>
      <c r="D38" s="16" t="s">
        <v>172</v>
      </c>
      <c r="E38" s="17"/>
    </row>
    <row r="39" spans="1:5" x14ac:dyDescent="0.25">
      <c r="D39" s="2"/>
      <c r="E39" s="4"/>
    </row>
    <row r="40" spans="1:5" x14ac:dyDescent="0.25">
      <c r="D40" s="2"/>
      <c r="E40" s="4"/>
    </row>
    <row r="41" spans="1:5" x14ac:dyDescent="0.25">
      <c r="A41" s="14" t="s">
        <v>173</v>
      </c>
      <c r="B41" s="14">
        <f>B34/B35</f>
        <v>-1.671775396230301</v>
      </c>
      <c r="D41" s="2"/>
      <c r="E41" s="4"/>
    </row>
    <row r="42" spans="1:5" x14ac:dyDescent="0.25">
      <c r="A42" s="14" t="s">
        <v>174</v>
      </c>
      <c r="B42" s="14">
        <f>TDIST(ABS(B41),C37,2)</f>
        <v>0.114007765717901</v>
      </c>
      <c r="C42" t="s">
        <v>190</v>
      </c>
      <c r="D42" s="2"/>
      <c r="E42" s="4"/>
    </row>
    <row r="43" spans="1:5" x14ac:dyDescent="0.25">
      <c r="D43" s="2"/>
      <c r="E43" s="4"/>
    </row>
  </sheetData>
  <pageMargins left="0.75" right="0.75" top="1" bottom="1" header="0.5" footer="0.5"/>
  <pageSetup orientation="portrait" horizontalDpi="4294967292" verticalDpi="4294967292"/>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F24"/>
  <sheetViews>
    <sheetView workbookViewId="0">
      <selection activeCell="C27" sqref="C27"/>
    </sheetView>
  </sheetViews>
  <sheetFormatPr defaultColWidth="11" defaultRowHeight="15.75" x14ac:dyDescent="0.25"/>
  <cols>
    <col min="2" max="2" width="16.625" customWidth="1"/>
    <col min="3" max="3" width="21.625" customWidth="1"/>
    <col min="4" max="4" width="18.625" customWidth="1"/>
    <col min="5" max="5" width="8" customWidth="1"/>
    <col min="6" max="6" width="21.5" customWidth="1"/>
  </cols>
  <sheetData>
    <row r="1" spans="1:6" x14ac:dyDescent="0.25">
      <c r="A1" s="1" t="s">
        <v>200</v>
      </c>
    </row>
    <row r="3" spans="1:6" x14ac:dyDescent="0.25">
      <c r="A3" t="s">
        <v>75</v>
      </c>
      <c r="B3" t="s">
        <v>76</v>
      </c>
      <c r="C3" t="s">
        <v>77</v>
      </c>
      <c r="D3" t="s">
        <v>78</v>
      </c>
      <c r="E3" t="s">
        <v>79</v>
      </c>
      <c r="F3" t="s">
        <v>80</v>
      </c>
    </row>
    <row r="4" spans="1:6" x14ac:dyDescent="0.25">
      <c r="A4" t="s">
        <v>81</v>
      </c>
      <c r="B4">
        <v>4.0120000000000003E-2</v>
      </c>
      <c r="C4">
        <v>4.1849999999999998E-2</v>
      </c>
      <c r="D4">
        <f>C4-B4</f>
        <v>1.7299999999999954E-3</v>
      </c>
      <c r="E4">
        <v>15</v>
      </c>
      <c r="F4" s="2">
        <f>D4/E4</f>
        <v>1.1533333333333302E-4</v>
      </c>
    </row>
    <row r="5" spans="1:6" x14ac:dyDescent="0.25">
      <c r="A5" t="s">
        <v>82</v>
      </c>
      <c r="B5">
        <v>3.4729999999999997E-2</v>
      </c>
      <c r="C5">
        <v>3.6060000000000002E-2</v>
      </c>
      <c r="D5">
        <f t="shared" ref="D5:D24" si="0">C5-B5</f>
        <v>1.3300000000000048E-3</v>
      </c>
      <c r="E5">
        <v>14</v>
      </c>
      <c r="F5" s="2">
        <f t="shared" ref="F5:F24" si="1">D5/E5</f>
        <v>9.5000000000000344E-5</v>
      </c>
    </row>
    <row r="6" spans="1:6" x14ac:dyDescent="0.25">
      <c r="A6" t="s">
        <v>83</v>
      </c>
      <c r="B6">
        <v>4.0689999999999997E-2</v>
      </c>
      <c r="C6">
        <v>4.215E-2</v>
      </c>
      <c r="D6">
        <f t="shared" si="0"/>
        <v>1.460000000000003E-3</v>
      </c>
      <c r="E6">
        <v>15</v>
      </c>
      <c r="F6" s="2">
        <f t="shared" si="1"/>
        <v>9.7333333333333535E-5</v>
      </c>
    </row>
    <row r="7" spans="1:6" x14ac:dyDescent="0.25">
      <c r="A7" t="s">
        <v>84</v>
      </c>
      <c r="B7">
        <v>3.5999999999999997E-2</v>
      </c>
      <c r="C7">
        <v>3.7859999999999998E-2</v>
      </c>
      <c r="D7">
        <f t="shared" si="0"/>
        <v>1.8600000000000005E-3</v>
      </c>
      <c r="E7">
        <v>16</v>
      </c>
      <c r="F7" s="2">
        <f t="shared" si="1"/>
        <v>1.1625000000000003E-4</v>
      </c>
    </row>
    <row r="8" spans="1:6" x14ac:dyDescent="0.25">
      <c r="A8" t="s">
        <v>85</v>
      </c>
      <c r="B8">
        <v>4.0500000000000001E-2</v>
      </c>
      <c r="C8">
        <v>4.1950000000000001E-2</v>
      </c>
      <c r="D8">
        <f t="shared" si="0"/>
        <v>1.4499999999999999E-3</v>
      </c>
      <c r="E8">
        <v>15</v>
      </c>
      <c r="F8" s="2">
        <f t="shared" si="1"/>
        <v>9.6666666666666654E-5</v>
      </c>
    </row>
    <row r="9" spans="1:6" x14ac:dyDescent="0.25">
      <c r="A9" t="s">
        <v>86</v>
      </c>
      <c r="B9">
        <v>3.576E-2</v>
      </c>
      <c r="C9">
        <v>3.7470000000000003E-2</v>
      </c>
      <c r="D9">
        <f t="shared" si="0"/>
        <v>1.7100000000000032E-3</v>
      </c>
      <c r="E9">
        <v>15</v>
      </c>
      <c r="F9" s="2">
        <f t="shared" si="1"/>
        <v>1.1400000000000021E-4</v>
      </c>
    </row>
    <row r="10" spans="1:6" x14ac:dyDescent="0.25">
      <c r="A10" t="s">
        <v>87</v>
      </c>
      <c r="B10">
        <v>3.6679999999999997E-2</v>
      </c>
      <c r="C10">
        <v>3.823E-2</v>
      </c>
      <c r="D10">
        <f t="shared" si="0"/>
        <v>1.5500000000000028E-3</v>
      </c>
      <c r="E10">
        <v>15</v>
      </c>
      <c r="F10" s="2">
        <f t="shared" si="1"/>
        <v>1.0333333333333352E-4</v>
      </c>
    </row>
    <row r="11" spans="1:6" x14ac:dyDescent="0.25">
      <c r="A11" t="s">
        <v>88</v>
      </c>
      <c r="B11">
        <v>4.2880000000000001E-2</v>
      </c>
      <c r="C11">
        <v>4.453E-2</v>
      </c>
      <c r="D11">
        <f t="shared" si="0"/>
        <v>1.6499999999999987E-3</v>
      </c>
      <c r="E11">
        <v>16</v>
      </c>
      <c r="F11" s="2">
        <f t="shared" si="1"/>
        <v>1.0312499999999992E-4</v>
      </c>
    </row>
    <row r="12" spans="1:6" x14ac:dyDescent="0.25">
      <c r="A12" t="s">
        <v>89</v>
      </c>
      <c r="B12">
        <v>3.6909999999999998E-2</v>
      </c>
      <c r="C12">
        <v>3.8330000000000003E-2</v>
      </c>
      <c r="D12">
        <f t="shared" si="0"/>
        <v>1.4200000000000046E-3</v>
      </c>
      <c r="E12">
        <v>15</v>
      </c>
      <c r="F12" s="2">
        <f>D12/E12</f>
        <v>9.4666666666666971E-5</v>
      </c>
    </row>
    <row r="13" spans="1:6" x14ac:dyDescent="0.25">
      <c r="A13" t="s">
        <v>177</v>
      </c>
      <c r="B13">
        <v>3.6670000000000001E-2</v>
      </c>
      <c r="C13">
        <v>3.8359999999999998E-2</v>
      </c>
      <c r="D13">
        <f t="shared" si="0"/>
        <v>1.6899999999999971E-3</v>
      </c>
      <c r="E13">
        <v>15</v>
      </c>
      <c r="F13" s="2">
        <f t="shared" si="1"/>
        <v>1.1266666666666647E-4</v>
      </c>
    </row>
    <row r="14" spans="1:6" x14ac:dyDescent="0.25">
      <c r="A14" t="s">
        <v>178</v>
      </c>
      <c r="B14">
        <v>3.4500000000000003E-2</v>
      </c>
      <c r="C14">
        <v>3.644E-2</v>
      </c>
      <c r="D14">
        <f t="shared" si="0"/>
        <v>1.9399999999999973E-3</v>
      </c>
      <c r="E14">
        <v>14</v>
      </c>
      <c r="F14" s="2">
        <f t="shared" si="1"/>
        <v>1.3857142857142839E-4</v>
      </c>
    </row>
    <row r="15" spans="1:6" x14ac:dyDescent="0.25">
      <c r="A15" t="s">
        <v>179</v>
      </c>
      <c r="B15">
        <v>3.952E-2</v>
      </c>
      <c r="C15">
        <v>4.0840000000000001E-2</v>
      </c>
      <c r="D15">
        <f t="shared" si="0"/>
        <v>1.3200000000000017E-3</v>
      </c>
      <c r="E15">
        <v>15</v>
      </c>
      <c r="F15" s="2">
        <f t="shared" si="1"/>
        <v>8.800000000000012E-5</v>
      </c>
    </row>
    <row r="16" spans="1:6" x14ac:dyDescent="0.25">
      <c r="A16" t="s">
        <v>90</v>
      </c>
      <c r="B16">
        <v>3.1359999999999999E-2</v>
      </c>
      <c r="C16">
        <v>3.2719999999999999E-2</v>
      </c>
      <c r="D16">
        <f t="shared" si="0"/>
        <v>1.3600000000000001E-3</v>
      </c>
      <c r="E16">
        <v>15</v>
      </c>
      <c r="F16" s="2">
        <f t="shared" si="1"/>
        <v>9.066666666666667E-5</v>
      </c>
    </row>
    <row r="17" spans="1:6" x14ac:dyDescent="0.25">
      <c r="A17" t="s">
        <v>91</v>
      </c>
      <c r="B17">
        <v>3.006E-2</v>
      </c>
      <c r="C17">
        <v>3.1379999999999998E-2</v>
      </c>
      <c r="D17">
        <f t="shared" si="0"/>
        <v>1.3199999999999983E-3</v>
      </c>
      <c r="E17">
        <v>14</v>
      </c>
      <c r="F17" s="2">
        <f t="shared" si="1"/>
        <v>9.4285714285714163E-5</v>
      </c>
    </row>
    <row r="18" spans="1:6" x14ac:dyDescent="0.25">
      <c r="A18" t="s">
        <v>92</v>
      </c>
      <c r="B18">
        <v>3.8109999999999998E-2</v>
      </c>
      <c r="C18">
        <v>3.9669999999999997E-2</v>
      </c>
      <c r="D18">
        <f t="shared" si="0"/>
        <v>1.5599999999999989E-3</v>
      </c>
      <c r="E18">
        <v>16</v>
      </c>
      <c r="F18" s="2">
        <f t="shared" si="1"/>
        <v>9.749999999999993E-5</v>
      </c>
    </row>
    <row r="19" spans="1:6" x14ac:dyDescent="0.25">
      <c r="A19" t="s">
        <v>93</v>
      </c>
      <c r="B19">
        <v>3.637E-2</v>
      </c>
      <c r="C19">
        <v>3.7900000000000003E-2</v>
      </c>
      <c r="D19">
        <f t="shared" si="0"/>
        <v>1.5300000000000036E-3</v>
      </c>
      <c r="E19">
        <v>15</v>
      </c>
      <c r="F19" s="2">
        <f t="shared" si="1"/>
        <v>1.0200000000000024E-4</v>
      </c>
    </row>
    <row r="20" spans="1:6" x14ac:dyDescent="0.25">
      <c r="A20" t="s">
        <v>94</v>
      </c>
      <c r="B20">
        <v>3.2969999999999999E-2</v>
      </c>
      <c r="C20">
        <v>3.4110000000000001E-2</v>
      </c>
      <c r="D20">
        <f t="shared" si="0"/>
        <v>1.1400000000000021E-3</v>
      </c>
      <c r="E20">
        <v>14</v>
      </c>
      <c r="F20" s="2">
        <f t="shared" si="1"/>
        <v>8.1428571428571582E-5</v>
      </c>
    </row>
    <row r="21" spans="1:6" x14ac:dyDescent="0.25">
      <c r="A21" t="s">
        <v>95</v>
      </c>
      <c r="B21">
        <v>3.0929999999999999E-2</v>
      </c>
      <c r="C21">
        <v>3.2099999999999997E-2</v>
      </c>
      <c r="D21">
        <f t="shared" si="0"/>
        <v>1.1699999999999974E-3</v>
      </c>
      <c r="E21">
        <v>14</v>
      </c>
      <c r="F21" s="2">
        <f t="shared" si="1"/>
        <v>8.357142857142839E-5</v>
      </c>
    </row>
    <row r="22" spans="1:6" x14ac:dyDescent="0.25">
      <c r="A22" t="s">
        <v>99</v>
      </c>
      <c r="B22">
        <v>3.1230000000000001E-2</v>
      </c>
      <c r="C22">
        <v>3.236E-2</v>
      </c>
      <c r="D22">
        <f t="shared" si="0"/>
        <v>1.1299999999999991E-3</v>
      </c>
      <c r="E22">
        <v>14</v>
      </c>
      <c r="F22" s="2">
        <f t="shared" si="1"/>
        <v>8.0714285714285645E-5</v>
      </c>
    </row>
    <row r="23" spans="1:6" x14ac:dyDescent="0.25">
      <c r="A23" t="s">
        <v>100</v>
      </c>
      <c r="B23">
        <v>3.3459999999999997E-2</v>
      </c>
      <c r="C23">
        <v>3.4720000000000001E-2</v>
      </c>
      <c r="D23">
        <f t="shared" si="0"/>
        <v>1.2600000000000042E-3</v>
      </c>
      <c r="E23">
        <v>14</v>
      </c>
      <c r="F23" s="2">
        <f t="shared" si="1"/>
        <v>9.0000000000000304E-5</v>
      </c>
    </row>
    <row r="24" spans="1:6" x14ac:dyDescent="0.25">
      <c r="A24" t="s">
        <v>101</v>
      </c>
      <c r="B24">
        <v>3.943E-2</v>
      </c>
      <c r="C24">
        <v>4.1029999999999997E-2</v>
      </c>
      <c r="D24">
        <f t="shared" si="0"/>
        <v>1.5999999999999973E-3</v>
      </c>
      <c r="E24">
        <v>15</v>
      </c>
      <c r="F24" s="2">
        <f t="shared" si="1"/>
        <v>1.0666666666666649E-4</v>
      </c>
    </row>
  </sheetData>
  <pageMargins left="0.75" right="0.75" top="1" bottom="1" header="0.5" footer="0.5"/>
  <pageSetup orientation="portrait" horizontalDpi="4294967292" verticalDpi="429496729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O52"/>
  <sheetViews>
    <sheetView topLeftCell="K24" workbookViewId="0">
      <selection activeCell="C27" sqref="C27"/>
    </sheetView>
  </sheetViews>
  <sheetFormatPr defaultColWidth="11" defaultRowHeight="15.75" x14ac:dyDescent="0.25"/>
  <cols>
    <col min="1" max="1" width="13.375" customWidth="1"/>
    <col min="2" max="2" width="23.375" customWidth="1"/>
    <col min="3" max="3" width="9.5" customWidth="1"/>
    <col min="5" max="5" width="15.5" customWidth="1"/>
  </cols>
  <sheetData>
    <row r="1" spans="1:10" x14ac:dyDescent="0.25">
      <c r="D1" t="s">
        <v>102</v>
      </c>
      <c r="E1">
        <v>21</v>
      </c>
    </row>
    <row r="3" spans="1:10" x14ac:dyDescent="0.25">
      <c r="A3" t="s">
        <v>75</v>
      </c>
      <c r="B3" t="s">
        <v>103</v>
      </c>
      <c r="C3" t="s">
        <v>104</v>
      </c>
      <c r="D3" t="s">
        <v>105</v>
      </c>
      <c r="E3" t="s">
        <v>106</v>
      </c>
    </row>
    <row r="4" spans="1:10" x14ac:dyDescent="0.25">
      <c r="A4" t="s">
        <v>108</v>
      </c>
      <c r="B4">
        <v>3</v>
      </c>
      <c r="D4">
        <v>0</v>
      </c>
      <c r="E4">
        <v>0</v>
      </c>
      <c r="G4">
        <v>0</v>
      </c>
    </row>
    <row r="5" spans="1:10" x14ac:dyDescent="0.25">
      <c r="A5" t="s">
        <v>109</v>
      </c>
      <c r="B5">
        <v>2</v>
      </c>
      <c r="D5">
        <v>0</v>
      </c>
      <c r="E5">
        <v>0</v>
      </c>
      <c r="G5">
        <v>0</v>
      </c>
    </row>
    <row r="6" spans="1:10" x14ac:dyDescent="0.25">
      <c r="A6" t="s">
        <v>81</v>
      </c>
      <c r="B6">
        <v>387</v>
      </c>
      <c r="C6" s="4">
        <f>(B6*391)/(2220000*10.9)*1000/'Esc Masses 0.2 23'!D4</f>
        <v>3614.6158355417615</v>
      </c>
      <c r="D6" s="5">
        <f>(B6*391)/(2220000*10.9)*1000/'Esc Masses 0.2 23'!E4</f>
        <v>0.41688569303248202</v>
      </c>
      <c r="E6" s="4">
        <f>AVERAGE(C6:C8)</f>
        <v>2753.2497094688661</v>
      </c>
      <c r="F6" s="27">
        <f>STDEV(C6:C8)/E6</f>
        <v>0.28518578002033385</v>
      </c>
      <c r="G6">
        <v>3</v>
      </c>
      <c r="I6" t="s">
        <v>110</v>
      </c>
      <c r="J6" t="s">
        <v>106</v>
      </c>
    </row>
    <row r="7" spans="1:10" x14ac:dyDescent="0.25">
      <c r="A7" t="s">
        <v>82</v>
      </c>
      <c r="B7">
        <v>171</v>
      </c>
      <c r="C7" s="4">
        <f>(B7*391)/(2220000*10.9)*1000/'Esc Masses 0.2 23'!D5</f>
        <v>2077.5034536502349</v>
      </c>
      <c r="D7" s="5">
        <f>(B7*391)/(2220000*10.9)*1000/'Esc Masses 0.2 23'!E5</f>
        <v>0.19736282809677302</v>
      </c>
      <c r="G7">
        <v>3</v>
      </c>
      <c r="I7">
        <v>3</v>
      </c>
      <c r="J7">
        <v>2776</v>
      </c>
    </row>
    <row r="8" spans="1:10" x14ac:dyDescent="0.25">
      <c r="A8" t="s">
        <v>83</v>
      </c>
      <c r="B8">
        <v>232</v>
      </c>
      <c r="C8" s="4">
        <f>(B8*391)/(2220000*10.9)*1000/'Esc Masses 0.2 23'!D6</f>
        <v>2567.6298392146023</v>
      </c>
      <c r="D8" s="5">
        <f>(B8*391)/(2220000*10.9)*1000/'Esc Masses 0.2 23'!E6</f>
        <v>0.24991597101688845</v>
      </c>
      <c r="G8">
        <v>3</v>
      </c>
      <c r="I8">
        <v>6</v>
      </c>
      <c r="J8">
        <v>3554</v>
      </c>
    </row>
    <row r="9" spans="1:10" x14ac:dyDescent="0.25">
      <c r="A9" t="s">
        <v>84</v>
      </c>
      <c r="B9">
        <v>453</v>
      </c>
      <c r="C9" s="4">
        <f>(B9*391)/(2220000*10.9)*1000/'Esc Masses 0.2 23'!D7</f>
        <v>3935.3425636349571</v>
      </c>
      <c r="D9" s="5">
        <f>(B9*391)/(2220000*10.9)*1000/'Esc Masses 0.2 23'!E7</f>
        <v>0.45748357302256387</v>
      </c>
      <c r="E9" s="4">
        <f>AVERAGE(C9:C11)</f>
        <v>3270.1171969592056</v>
      </c>
      <c r="F9" s="27">
        <f>STDEV(C9:C11)/E9</f>
        <v>0.26577995541210514</v>
      </c>
      <c r="G9">
        <v>6</v>
      </c>
      <c r="I9">
        <v>12</v>
      </c>
      <c r="J9">
        <v>4219</v>
      </c>
    </row>
    <row r="10" spans="1:10" x14ac:dyDescent="0.25">
      <c r="A10" t="s">
        <v>85</v>
      </c>
      <c r="B10">
        <v>322</v>
      </c>
      <c r="C10" s="4">
        <f>(B10*391)/(2220000*10.9)*1000/'Esc Masses 0.2 23'!D8</f>
        <v>3588.2703329713772</v>
      </c>
      <c r="D10" s="5">
        <f>(B10*391)/(2220000*10.9)*1000/'Esc Masses 0.2 23'!E8</f>
        <v>0.34686613218723311</v>
      </c>
      <c r="G10">
        <v>6</v>
      </c>
      <c r="I10">
        <v>16</v>
      </c>
      <c r="J10">
        <v>3953</v>
      </c>
    </row>
    <row r="11" spans="1:10" x14ac:dyDescent="0.25">
      <c r="A11" t="s">
        <v>86</v>
      </c>
      <c r="B11">
        <v>242</v>
      </c>
      <c r="C11" s="4">
        <f>(B11*391)/(2220000*10.9)*1000/'Esc Masses 0.2 23'!D9</f>
        <v>2286.7386942712833</v>
      </c>
      <c r="D11" s="5">
        <f>(B11*391)/(2220000*10.9)*1000/'Esc Masses 0.2 23'!E9</f>
        <v>0.26068821114692675</v>
      </c>
      <c r="G11">
        <v>6</v>
      </c>
      <c r="I11">
        <v>24</v>
      </c>
      <c r="J11">
        <v>5619</v>
      </c>
    </row>
    <row r="12" spans="1:10" x14ac:dyDescent="0.25">
      <c r="A12" t="s">
        <v>87</v>
      </c>
      <c r="B12">
        <v>549</v>
      </c>
      <c r="C12" s="4">
        <f>(B12*391)/(2220000*10.9)*1000/'Esc Masses 0.2 23'!D10</f>
        <v>5723.1869336042073</v>
      </c>
      <c r="D12" s="5">
        <f>(B12*391)/(2220000*10.9)*1000/'Esc Masses 0.2 23'!E10</f>
        <v>0.59139598313910247</v>
      </c>
      <c r="E12" s="4">
        <f>AVERAGE(C12:C14)</f>
        <v>4887.5889844757121</v>
      </c>
      <c r="F12" s="27">
        <f>STDEV(C12:C14)/E12</f>
        <v>0.20872806025534679</v>
      </c>
      <c r="G12">
        <v>12</v>
      </c>
      <c r="I12">
        <v>36</v>
      </c>
      <c r="J12">
        <v>7210</v>
      </c>
    </row>
    <row r="13" spans="1:10" x14ac:dyDescent="0.25">
      <c r="A13" t="s">
        <v>88</v>
      </c>
      <c r="B13">
        <v>383</v>
      </c>
      <c r="C13" s="4">
        <f>(B13*391)/(2220000*10.9)*1000/'Esc Masses 0.2 23'!D11</f>
        <v>3750.6981543678821</v>
      </c>
      <c r="D13" s="5">
        <f>(B13*391)/(2220000*10.9)*1000/'Esc Masses 0.2 23'!E11</f>
        <v>0.38679074716918754</v>
      </c>
      <c r="G13">
        <v>12</v>
      </c>
    </row>
    <row r="14" spans="1:10" x14ac:dyDescent="0.25">
      <c r="A14" t="s">
        <v>89</v>
      </c>
      <c r="B14">
        <v>456</v>
      </c>
      <c r="C14" s="4">
        <f>(B14*391)/(2220000*10.9)*1000/'Esc Masses 0.2 23'!D12</f>
        <v>5188.8818654550496</v>
      </c>
      <c r="D14" s="5">
        <f>(B14*391)/(2220000*10.9)*1000/'Esc Masses 0.2 23'!E12</f>
        <v>0.49121414992974627</v>
      </c>
      <c r="G14">
        <v>12</v>
      </c>
    </row>
    <row r="15" spans="1:10" x14ac:dyDescent="0.25">
      <c r="A15" t="s">
        <v>177</v>
      </c>
      <c r="B15">
        <v>357</v>
      </c>
      <c r="C15" s="4">
        <f>(B15*391)/(2220000*10.9)*1000/'Esc Masses 0.2 23'!D13</f>
        <v>3413.3340767074064</v>
      </c>
      <c r="D15" s="5">
        <f>(B15*391)/(2220000*10.9)*1000/'Esc Masses 0.2 23'!E13</f>
        <v>0.38456897264236711</v>
      </c>
      <c r="E15" s="4">
        <f>AVERAGE(C15:C17)</f>
        <v>4679.9806668921774</v>
      </c>
      <c r="F15" s="27">
        <f>STDEV(C15:C17)/E15</f>
        <v>0.291023981882368</v>
      </c>
      <c r="G15">
        <v>16</v>
      </c>
    </row>
    <row r="16" spans="1:10" x14ac:dyDescent="0.25">
      <c r="A16" t="s">
        <v>178</v>
      </c>
      <c r="B16">
        <v>541</v>
      </c>
      <c r="C16" s="4">
        <f>(B16*391)/(2220000*10.9)*1000/'Esc Masses 0.2 23'!D14</f>
        <v>4506.0169409928294</v>
      </c>
      <c r="D16" s="5">
        <f>(B16*391)/(2220000*10.9)*1000/'Esc Masses 0.2 23'!E14</f>
        <v>0.62440520468043403</v>
      </c>
      <c r="G16">
        <v>16</v>
      </c>
    </row>
    <row r="17" spans="1:15" x14ac:dyDescent="0.25">
      <c r="A17" t="s">
        <v>179</v>
      </c>
      <c r="B17">
        <v>500</v>
      </c>
      <c r="C17" s="4">
        <f>(B17*391)/(2220000*10.9)*1000/'Esc Masses 0.2 23'!D15</f>
        <v>6120.5909829762968</v>
      </c>
      <c r="D17" s="5">
        <f>(B17*391)/(2220000*10.9)*1000/'Esc Masses 0.2 23'!E15</f>
        <v>0.53861200650191476</v>
      </c>
      <c r="G17">
        <v>16</v>
      </c>
    </row>
    <row r="18" spans="1:15" x14ac:dyDescent="0.25">
      <c r="A18" t="s">
        <v>90</v>
      </c>
      <c r="B18">
        <v>644</v>
      </c>
      <c r="C18" s="4">
        <f>(B18*391)/(2220000*10.9)*1000/'Esc Masses 0.2 23'!D16</f>
        <v>7651.4587982477888</v>
      </c>
      <c r="D18" s="5">
        <f>(B18*391)/(2220000*10.9)*1000/'Esc Masses 0.2 23'!E16</f>
        <v>0.69373226437446622</v>
      </c>
      <c r="E18" s="4">
        <f>AVERAGE(C18:C20)</f>
        <v>7020.714818879962</v>
      </c>
      <c r="F18" s="27">
        <f>STDEV(C18:C20)/E18</f>
        <v>0.11525667562672048</v>
      </c>
      <c r="G18">
        <v>24</v>
      </c>
      <c r="O18" t="s">
        <v>111</v>
      </c>
    </row>
    <row r="19" spans="1:15" x14ac:dyDescent="0.25">
      <c r="A19" t="s">
        <v>91</v>
      </c>
      <c r="B19">
        <v>499</v>
      </c>
      <c r="C19" s="4">
        <f>(B19*391)/(2220000*10.9)*1000/'Esc Masses 0.2 23'!D17</f>
        <v>6108.3498010103604</v>
      </c>
      <c r="D19" s="5">
        <f>(B19*391)/(2220000*10.9)*1000/'Esc Masses 0.2 23'!E17</f>
        <v>0.57593012409526179</v>
      </c>
      <c r="G19">
        <v>24</v>
      </c>
    </row>
    <row r="20" spans="1:15" x14ac:dyDescent="0.25">
      <c r="A20" t="s">
        <v>92</v>
      </c>
      <c r="B20">
        <v>705</v>
      </c>
      <c r="C20" s="4">
        <f>(B20*391)/(2220000*10.9)*1000/'Esc Masses 0.2 23'!D18</f>
        <v>7302.335857381735</v>
      </c>
      <c r="D20" s="5">
        <f>(B20*391)/(2220000*10.9)*1000/'Esc Masses 0.2 23'!E18</f>
        <v>0.71197774609471864</v>
      </c>
      <c r="G20">
        <v>24</v>
      </c>
    </row>
    <row r="21" spans="1:15" x14ac:dyDescent="0.25">
      <c r="A21" t="s">
        <v>93</v>
      </c>
      <c r="B21">
        <v>836</v>
      </c>
      <c r="C21" s="4">
        <f>(B21*391)/(2220000*10.9)*1000/'Esc Masses 0.2 23'!D19</f>
        <v>8829.0124987372492</v>
      </c>
      <c r="D21" s="5">
        <f>(B21*391)/(2220000*10.9)*1000/'Esc Masses 0.2 23'!E19</f>
        <v>0.90055927487120147</v>
      </c>
      <c r="E21" s="4">
        <f>AVERAGE(C21:C23)</f>
        <v>8468.1990363625591</v>
      </c>
      <c r="F21" s="27">
        <f>STDEV(C21:C23)/E21</f>
        <v>3.8574889720753187E-2</v>
      </c>
      <c r="G21">
        <v>36</v>
      </c>
    </row>
    <row r="22" spans="1:15" x14ac:dyDescent="0.25">
      <c r="A22" t="s">
        <v>94</v>
      </c>
      <c r="B22">
        <v>578</v>
      </c>
      <c r="C22" s="4">
        <f>(B22*391)/(2220000*10.9)*1000/'Esc Masses 0.2 23'!D20</f>
        <v>8192.5720988975318</v>
      </c>
      <c r="D22" s="5">
        <f>(B22*391)/(2220000*10.9)*1000/'Esc Masses 0.2 23'!E20</f>
        <v>0.66710944233880021</v>
      </c>
      <c r="G22">
        <v>36</v>
      </c>
    </row>
    <row r="23" spans="1:15" x14ac:dyDescent="0.25">
      <c r="A23" t="s">
        <v>95</v>
      </c>
      <c r="B23">
        <v>607</v>
      </c>
      <c r="C23" s="4">
        <f>(B23*391)/(2220000*10.9)*1000/'Esc Masses 0.2 23'!D21</f>
        <v>8383.0125114528964</v>
      </c>
      <c r="D23" s="5">
        <f>(B23*391)/(2220000*10.9)*1000/'Esc Masses 0.2 23'!E21</f>
        <v>0.70058033131427622</v>
      </c>
      <c r="G23">
        <v>36</v>
      </c>
    </row>
    <row r="24" spans="1:15" x14ac:dyDescent="0.25">
      <c r="A24" t="s">
        <v>99</v>
      </c>
      <c r="B24">
        <v>0</v>
      </c>
      <c r="C24" s="4">
        <f>(B24*391)/(2220000*10.9)*1000/'Esc Masses 0.2 23'!D22</f>
        <v>0</v>
      </c>
      <c r="D24" s="5">
        <f>(B24*391)/(2220000*10.9)*1000/'Esc Masses 0.2 23'!E22</f>
        <v>0</v>
      </c>
      <c r="E24" s="4">
        <f>AVERAGE(C24:C25)</f>
        <v>6.4120476964513449</v>
      </c>
      <c r="F24" s="27">
        <f>STDEV(C24:C26)/E24</f>
        <v>4.0933126356697338</v>
      </c>
    </row>
    <row r="25" spans="1:15" x14ac:dyDescent="0.25">
      <c r="A25" t="s">
        <v>100</v>
      </c>
      <c r="B25">
        <v>1</v>
      </c>
      <c r="C25" s="4">
        <f>(B25*391)/(2220000*10.9)*1000/'Esc Masses 0.2 23'!D23</f>
        <v>12.82409539290269</v>
      </c>
      <c r="D25" s="5">
        <f>(B25*391)/(2220000*10.9)*1000/'Esc Masses 0.2 23'!E23</f>
        <v>1.1541685853612459E-3</v>
      </c>
    </row>
    <row r="26" spans="1:15" x14ac:dyDescent="0.25">
      <c r="A26" t="s">
        <v>101</v>
      </c>
      <c r="B26">
        <v>5</v>
      </c>
      <c r="C26" s="4">
        <f>(B26*391)/(2220000*10.9)*1000/'Esc Masses 0.2 23'!D24</f>
        <v>50.49487560955459</v>
      </c>
      <c r="D26" s="5">
        <f>(B26*391)/(2220000*10.9)*1000/'Esc Masses 0.2 23'!E24</f>
        <v>5.3861200650191475E-3</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3</v>
      </c>
      <c r="C32">
        <v>4</v>
      </c>
      <c r="D32">
        <v>1</v>
      </c>
      <c r="E32">
        <v>0</v>
      </c>
      <c r="F32">
        <v>6</v>
      </c>
      <c r="G32" s="28">
        <f t="shared" ref="G32:G38" si="0">(E32)/(SUM(B32+C32+D32+E32+F32))</f>
        <v>0</v>
      </c>
      <c r="I32" t="s">
        <v>102</v>
      </c>
      <c r="J32">
        <v>19</v>
      </c>
      <c r="L32">
        <v>0</v>
      </c>
      <c r="M32">
        <v>0</v>
      </c>
      <c r="N32">
        <v>0</v>
      </c>
      <c r="O32">
        <v>0</v>
      </c>
    </row>
    <row r="33" spans="1:15" x14ac:dyDescent="0.25">
      <c r="A33" t="s">
        <v>123</v>
      </c>
      <c r="B33">
        <v>59</v>
      </c>
      <c r="C33">
        <v>48</v>
      </c>
      <c r="D33">
        <v>14</v>
      </c>
      <c r="E33">
        <v>360</v>
      </c>
      <c r="F33">
        <v>3</v>
      </c>
      <c r="G33" s="28">
        <f t="shared" si="0"/>
        <v>0.74380165289256195</v>
      </c>
      <c r="L33">
        <v>0</v>
      </c>
      <c r="M33">
        <v>0</v>
      </c>
      <c r="N33">
        <v>0</v>
      </c>
      <c r="O33">
        <v>0</v>
      </c>
    </row>
    <row r="34" spans="1:15" x14ac:dyDescent="0.25">
      <c r="A34" t="s">
        <v>124</v>
      </c>
      <c r="B34">
        <v>109</v>
      </c>
      <c r="C34">
        <v>86</v>
      </c>
      <c r="D34">
        <v>16</v>
      </c>
      <c r="E34">
        <v>353</v>
      </c>
      <c r="F34">
        <v>3</v>
      </c>
      <c r="G34" s="28">
        <f t="shared" si="0"/>
        <v>0.62257495590828926</v>
      </c>
      <c r="L34">
        <v>0</v>
      </c>
      <c r="M34">
        <v>0</v>
      </c>
      <c r="N34">
        <v>0</v>
      </c>
      <c r="O34">
        <v>0</v>
      </c>
    </row>
    <row r="35" spans="1:15" x14ac:dyDescent="0.25">
      <c r="A35" t="s">
        <v>125</v>
      </c>
      <c r="B35">
        <v>178</v>
      </c>
      <c r="C35">
        <v>131</v>
      </c>
      <c r="D35">
        <v>29</v>
      </c>
      <c r="E35">
        <v>340</v>
      </c>
      <c r="F35">
        <v>2</v>
      </c>
      <c r="G35" s="28">
        <f t="shared" si="0"/>
        <v>0.5</v>
      </c>
      <c r="L35">
        <v>3</v>
      </c>
      <c r="M35">
        <v>3615</v>
      </c>
      <c r="N35" s="4">
        <f>M35*0.74</f>
        <v>2675.1</v>
      </c>
      <c r="O35" s="4">
        <f>M35-N35</f>
        <v>939.90000000000009</v>
      </c>
    </row>
    <row r="36" spans="1:15" x14ac:dyDescent="0.25">
      <c r="A36" t="s">
        <v>180</v>
      </c>
      <c r="B36">
        <v>210</v>
      </c>
      <c r="C36">
        <v>177</v>
      </c>
      <c r="D36">
        <v>45</v>
      </c>
      <c r="E36">
        <v>317</v>
      </c>
      <c r="F36">
        <v>3</v>
      </c>
      <c r="G36" s="28">
        <f t="shared" si="0"/>
        <v>0.42154255319148937</v>
      </c>
      <c r="L36">
        <v>3</v>
      </c>
      <c r="M36">
        <v>2078</v>
      </c>
      <c r="N36" s="4">
        <f>M36*0.74</f>
        <v>1537.72</v>
      </c>
      <c r="O36" s="4">
        <f t="shared" ref="O36:O52" si="1">M36-N36</f>
        <v>540.28</v>
      </c>
    </row>
    <row r="37" spans="1:15" x14ac:dyDescent="0.25">
      <c r="A37" t="s">
        <v>126</v>
      </c>
      <c r="B37">
        <v>323</v>
      </c>
      <c r="C37">
        <v>283</v>
      </c>
      <c r="D37">
        <v>69</v>
      </c>
      <c r="E37">
        <v>299</v>
      </c>
      <c r="F37">
        <v>4</v>
      </c>
      <c r="G37" s="28">
        <f t="shared" si="0"/>
        <v>0.30572597137014312</v>
      </c>
      <c r="L37">
        <v>3</v>
      </c>
      <c r="M37">
        <v>2568</v>
      </c>
      <c r="N37" s="4">
        <f>M37*0.74</f>
        <v>1900.32</v>
      </c>
      <c r="O37" s="4">
        <f t="shared" si="1"/>
        <v>667.68000000000006</v>
      </c>
    </row>
    <row r="38" spans="1:15" x14ac:dyDescent="0.25">
      <c r="A38" t="s">
        <v>127</v>
      </c>
      <c r="B38">
        <v>531</v>
      </c>
      <c r="C38">
        <v>329</v>
      </c>
      <c r="D38">
        <v>60</v>
      </c>
      <c r="E38">
        <v>316</v>
      </c>
      <c r="F38">
        <v>6</v>
      </c>
      <c r="G38" s="28">
        <f t="shared" si="0"/>
        <v>0.25442834138486314</v>
      </c>
      <c r="L38">
        <v>6</v>
      </c>
      <c r="M38">
        <v>3935</v>
      </c>
      <c r="N38" s="4">
        <f>M38*0.62</f>
        <v>2439.6999999999998</v>
      </c>
      <c r="O38" s="4">
        <f t="shared" si="1"/>
        <v>1495.3000000000002</v>
      </c>
    </row>
    <row r="39" spans="1:15" x14ac:dyDescent="0.25">
      <c r="L39">
        <v>6</v>
      </c>
      <c r="M39">
        <v>3588</v>
      </c>
      <c r="N39" s="4">
        <f t="shared" ref="N39:N40" si="2">M39*0.62</f>
        <v>2224.56</v>
      </c>
      <c r="O39" s="4">
        <f t="shared" si="1"/>
        <v>1363.44</v>
      </c>
    </row>
    <row r="40" spans="1:15" x14ac:dyDescent="0.25">
      <c r="L40">
        <v>6</v>
      </c>
      <c r="M40">
        <v>2287</v>
      </c>
      <c r="N40" s="4">
        <f t="shared" si="2"/>
        <v>1417.94</v>
      </c>
      <c r="O40" s="4">
        <f t="shared" si="1"/>
        <v>869.06</v>
      </c>
    </row>
    <row r="41" spans="1:15" x14ac:dyDescent="0.25">
      <c r="L41">
        <v>12</v>
      </c>
      <c r="M41">
        <v>5723</v>
      </c>
      <c r="N41" s="4">
        <f>M41*0.5</f>
        <v>2861.5</v>
      </c>
      <c r="O41" s="4">
        <f t="shared" si="1"/>
        <v>2861.5</v>
      </c>
    </row>
    <row r="42" spans="1:15" x14ac:dyDescent="0.25">
      <c r="L42">
        <v>12</v>
      </c>
      <c r="M42">
        <v>3751</v>
      </c>
      <c r="N42" s="4">
        <f t="shared" ref="N42:N43" si="3">M42*0.5</f>
        <v>1875.5</v>
      </c>
      <c r="O42" s="4">
        <f t="shared" si="1"/>
        <v>1875.5</v>
      </c>
    </row>
    <row r="43" spans="1:15" x14ac:dyDescent="0.25">
      <c r="L43">
        <v>12</v>
      </c>
      <c r="M43">
        <v>5189</v>
      </c>
      <c r="N43" s="4">
        <f t="shared" si="3"/>
        <v>2594.5</v>
      </c>
      <c r="O43" s="4">
        <f t="shared" si="1"/>
        <v>2594.5</v>
      </c>
    </row>
    <row r="44" spans="1:15" x14ac:dyDescent="0.25">
      <c r="L44">
        <v>16</v>
      </c>
      <c r="M44">
        <v>3413</v>
      </c>
      <c r="N44" s="4">
        <f>M44*0.42</f>
        <v>1433.46</v>
      </c>
      <c r="O44" s="4">
        <f t="shared" si="1"/>
        <v>1979.54</v>
      </c>
    </row>
    <row r="45" spans="1:15" x14ac:dyDescent="0.25">
      <c r="L45">
        <v>16</v>
      </c>
      <c r="M45">
        <v>4506</v>
      </c>
      <c r="N45" s="4">
        <f t="shared" ref="N45:N46" si="4">M45*0.42</f>
        <v>1892.52</v>
      </c>
      <c r="O45" s="4">
        <f t="shared" si="1"/>
        <v>2613.48</v>
      </c>
    </row>
    <row r="46" spans="1:15" x14ac:dyDescent="0.25">
      <c r="L46">
        <v>16</v>
      </c>
      <c r="M46">
        <v>6121</v>
      </c>
      <c r="N46" s="4">
        <f t="shared" si="4"/>
        <v>2570.8199999999997</v>
      </c>
      <c r="O46" s="4">
        <f t="shared" si="1"/>
        <v>3550.1800000000003</v>
      </c>
    </row>
    <row r="47" spans="1:15" x14ac:dyDescent="0.25">
      <c r="L47">
        <v>24</v>
      </c>
      <c r="M47">
        <v>7651</v>
      </c>
      <c r="N47" s="4">
        <f>M47*0.31</f>
        <v>2371.81</v>
      </c>
      <c r="O47" s="4">
        <f t="shared" si="1"/>
        <v>5279.1900000000005</v>
      </c>
    </row>
    <row r="48" spans="1:15" x14ac:dyDescent="0.25">
      <c r="L48">
        <v>24</v>
      </c>
      <c r="M48">
        <v>6108</v>
      </c>
      <c r="N48" s="4">
        <f t="shared" ref="N48:N49" si="5">M48*0.31</f>
        <v>1893.48</v>
      </c>
      <c r="O48" s="4">
        <f t="shared" si="1"/>
        <v>4214.5200000000004</v>
      </c>
    </row>
    <row r="49" spans="12:15" x14ac:dyDescent="0.25">
      <c r="L49">
        <v>24</v>
      </c>
      <c r="M49">
        <v>7302</v>
      </c>
      <c r="N49" s="4">
        <f t="shared" si="5"/>
        <v>2263.62</v>
      </c>
      <c r="O49" s="4">
        <f t="shared" si="1"/>
        <v>5038.38</v>
      </c>
    </row>
    <row r="50" spans="12:15" x14ac:dyDescent="0.25">
      <c r="L50">
        <v>36</v>
      </c>
      <c r="M50">
        <v>8829</v>
      </c>
      <c r="N50" s="4">
        <f>M50*0.25</f>
        <v>2207.25</v>
      </c>
      <c r="O50" s="4">
        <f t="shared" si="1"/>
        <v>6621.75</v>
      </c>
    </row>
    <row r="51" spans="12:15" x14ac:dyDescent="0.25">
      <c r="L51">
        <v>36</v>
      </c>
      <c r="M51">
        <v>8193</v>
      </c>
      <c r="N51" s="4">
        <f t="shared" ref="N51:N52" si="6">M51*0.25</f>
        <v>2048.25</v>
      </c>
      <c r="O51" s="4">
        <f t="shared" si="1"/>
        <v>6144.75</v>
      </c>
    </row>
    <row r="52" spans="12:15" x14ac:dyDescent="0.25">
      <c r="L52">
        <v>36</v>
      </c>
      <c r="M52">
        <v>8383</v>
      </c>
      <c r="N52" s="4">
        <f t="shared" si="6"/>
        <v>2095.75</v>
      </c>
      <c r="O52" s="4">
        <f t="shared" si="1"/>
        <v>6287.25</v>
      </c>
    </row>
  </sheetData>
  <pageMargins left="0.75" right="0.75" top="1" bottom="1" header="0.5" footer="0.5"/>
  <pageSetup orientation="portrait" horizontalDpi="4294967292" verticalDpi="4294967292"/>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J46"/>
  <sheetViews>
    <sheetView workbookViewId="0">
      <selection activeCell="C27" sqref="C27"/>
    </sheetView>
  </sheetViews>
  <sheetFormatPr defaultColWidth="11" defaultRowHeight="15.75" x14ac:dyDescent="0.25"/>
  <cols>
    <col min="2" max="2" width="22.875" customWidth="1"/>
    <col min="6" max="6" width="12.125" customWidth="1"/>
  </cols>
  <sheetData>
    <row r="1" spans="1:10" x14ac:dyDescent="0.25">
      <c r="C1" t="s">
        <v>102</v>
      </c>
      <c r="D1">
        <v>21</v>
      </c>
    </row>
    <row r="3" spans="1:10" x14ac:dyDescent="0.25">
      <c r="A3" t="s">
        <v>75</v>
      </c>
      <c r="B3" t="s">
        <v>129</v>
      </c>
      <c r="C3" t="s">
        <v>130</v>
      </c>
      <c r="D3" t="s">
        <v>131</v>
      </c>
      <c r="E3" t="s">
        <v>132</v>
      </c>
      <c r="F3" t="s">
        <v>133</v>
      </c>
      <c r="H3" t="s">
        <v>134</v>
      </c>
    </row>
    <row r="4" spans="1:10" x14ac:dyDescent="0.25">
      <c r="A4" t="s">
        <v>136</v>
      </c>
      <c r="B4">
        <v>0</v>
      </c>
      <c r="C4">
        <f>B4/10</f>
        <v>0</v>
      </c>
      <c r="D4" s="4">
        <f>(C4*391*1000)/(2220000*10.9)</f>
        <v>0</v>
      </c>
      <c r="E4" s="4"/>
      <c r="H4" s="4">
        <f>AVERAGE(F11,F14,F17,F20,F23,F26)</f>
        <v>382.86336795511107</v>
      </c>
      <c r="J4" s="19"/>
    </row>
    <row r="5" spans="1:10" x14ac:dyDescent="0.25">
      <c r="A5" t="s">
        <v>137</v>
      </c>
      <c r="B5">
        <v>84</v>
      </c>
      <c r="C5">
        <f>B5/2000</f>
        <v>4.2000000000000003E-2</v>
      </c>
      <c r="D5" s="2">
        <f>(C5*391*1000)/(2220000*10.9)</f>
        <v>6.7865112819241258E-4</v>
      </c>
      <c r="E5" s="4">
        <f>D5*1000*1000</f>
        <v>678.65112819241256</v>
      </c>
    </row>
    <row r="6" spans="1:10" x14ac:dyDescent="0.25">
      <c r="A6" t="s">
        <v>138</v>
      </c>
      <c r="B6">
        <v>55</v>
      </c>
      <c r="C6">
        <f t="shared" ref="C6:C31" si="0">B6/2000</f>
        <v>2.75E-2</v>
      </c>
      <c r="D6" s="2">
        <f t="shared" ref="D6:D31" si="1">(C6*391*1000)/(2220000*10.9)</f>
        <v>4.4435490536407965E-4</v>
      </c>
      <c r="E6" s="4">
        <f t="shared" ref="E6:E31" si="2">D6*1000*1000</f>
        <v>444.35490536407968</v>
      </c>
    </row>
    <row r="7" spans="1:10" x14ac:dyDescent="0.25">
      <c r="A7" t="s">
        <v>139</v>
      </c>
      <c r="B7">
        <v>50</v>
      </c>
      <c r="C7">
        <f t="shared" si="0"/>
        <v>2.5000000000000001E-2</v>
      </c>
      <c r="D7" s="2">
        <f t="shared" si="1"/>
        <v>4.0395900487643607E-4</v>
      </c>
      <c r="E7" s="4">
        <f t="shared" si="2"/>
        <v>403.9590048764361</v>
      </c>
    </row>
    <row r="8" spans="1:10" x14ac:dyDescent="0.25">
      <c r="A8" t="s">
        <v>181</v>
      </c>
      <c r="B8">
        <v>50</v>
      </c>
      <c r="C8">
        <f t="shared" si="0"/>
        <v>2.5000000000000001E-2</v>
      </c>
      <c r="D8" s="2">
        <f t="shared" si="1"/>
        <v>4.0395900487643607E-4</v>
      </c>
      <c r="E8" s="4">
        <f t="shared" si="2"/>
        <v>403.9590048764361</v>
      </c>
    </row>
    <row r="9" spans="1:10" x14ac:dyDescent="0.25">
      <c r="A9" t="s">
        <v>140</v>
      </c>
      <c r="B9">
        <v>53</v>
      </c>
      <c r="C9">
        <f t="shared" si="0"/>
        <v>2.6499999999999999E-2</v>
      </c>
      <c r="D9" s="2">
        <f t="shared" si="1"/>
        <v>4.2819654516902222E-4</v>
      </c>
      <c r="E9" s="4">
        <f t="shared" si="2"/>
        <v>428.19654516902222</v>
      </c>
    </row>
    <row r="10" spans="1:10" x14ac:dyDescent="0.25">
      <c r="A10" t="s">
        <v>141</v>
      </c>
      <c r="B10">
        <v>52</v>
      </c>
      <c r="C10">
        <f t="shared" si="0"/>
        <v>2.5999999999999999E-2</v>
      </c>
      <c r="D10" s="2">
        <f t="shared" si="1"/>
        <v>4.2011736507149351E-4</v>
      </c>
      <c r="E10" s="4">
        <f t="shared" si="2"/>
        <v>420.11736507149351</v>
      </c>
    </row>
    <row r="11" spans="1:10" x14ac:dyDescent="0.25">
      <c r="A11" t="s">
        <v>143</v>
      </c>
      <c r="B11">
        <v>75</v>
      </c>
      <c r="C11">
        <f t="shared" si="0"/>
        <v>3.7499999999999999E-2</v>
      </c>
      <c r="D11" s="2">
        <f t="shared" si="1"/>
        <v>6.0593850731465414E-4</v>
      </c>
      <c r="E11" s="4">
        <f t="shared" si="2"/>
        <v>605.9385073146542</v>
      </c>
      <c r="F11" s="4">
        <f>AVERAGE(E11:E13)</f>
        <v>490.13692591674243</v>
      </c>
      <c r="G11" s="27">
        <f>STDEV(E11:E13)/F11</f>
        <v>0.20609889377484794</v>
      </c>
      <c r="H11" s="13">
        <f>E11/1000</f>
        <v>0.60593850731465415</v>
      </c>
      <c r="I11">
        <v>3</v>
      </c>
    </row>
    <row r="12" spans="1:10" x14ac:dyDescent="0.25">
      <c r="A12" t="s">
        <v>144</v>
      </c>
      <c r="B12">
        <v>55</v>
      </c>
      <c r="C12">
        <f t="shared" si="0"/>
        <v>2.75E-2</v>
      </c>
      <c r="D12" s="2">
        <f t="shared" si="1"/>
        <v>4.4435490536407965E-4</v>
      </c>
      <c r="E12" s="4">
        <f t="shared" si="2"/>
        <v>444.35490536407968</v>
      </c>
      <c r="H12" s="13">
        <f t="shared" ref="H12:H28" si="3">E12/1000</f>
        <v>0.44435490536407968</v>
      </c>
      <c r="I12">
        <v>3</v>
      </c>
    </row>
    <row r="13" spans="1:10" x14ac:dyDescent="0.25">
      <c r="A13" t="s">
        <v>145</v>
      </c>
      <c r="B13">
        <v>52</v>
      </c>
      <c r="C13">
        <f t="shared" si="0"/>
        <v>2.5999999999999999E-2</v>
      </c>
      <c r="D13" s="2">
        <f t="shared" si="1"/>
        <v>4.2011736507149351E-4</v>
      </c>
      <c r="E13" s="4">
        <f t="shared" si="2"/>
        <v>420.11736507149351</v>
      </c>
      <c r="H13" s="13">
        <f t="shared" si="3"/>
        <v>0.4201173650714935</v>
      </c>
      <c r="I13">
        <v>3</v>
      </c>
    </row>
    <row r="14" spans="1:10" x14ac:dyDescent="0.25">
      <c r="A14" t="s">
        <v>146</v>
      </c>
      <c r="B14">
        <v>49</v>
      </c>
      <c r="C14">
        <f t="shared" si="0"/>
        <v>2.4500000000000001E-2</v>
      </c>
      <c r="D14" s="2">
        <f t="shared" si="1"/>
        <v>3.9587982477890741E-4</v>
      </c>
      <c r="E14" s="4">
        <f t="shared" si="2"/>
        <v>395.87982477890745</v>
      </c>
      <c r="F14" s="4">
        <f>AVERAGE(E14:E16)</f>
        <v>368.94922445381167</v>
      </c>
      <c r="G14" s="27">
        <f>STDEV(E14:E16)/F14</f>
        <v>9.1167853991217518E-2</v>
      </c>
      <c r="H14" s="13">
        <f t="shared" si="3"/>
        <v>0.39587982477890743</v>
      </c>
      <c r="I14">
        <v>6</v>
      </c>
    </row>
    <row r="15" spans="1:10" x14ac:dyDescent="0.25">
      <c r="A15" t="s">
        <v>147</v>
      </c>
      <c r="B15">
        <v>41</v>
      </c>
      <c r="C15">
        <f t="shared" si="0"/>
        <v>2.0500000000000001E-2</v>
      </c>
      <c r="D15" s="2">
        <f t="shared" si="1"/>
        <v>3.3124638399867763E-4</v>
      </c>
      <c r="E15" s="4">
        <f t="shared" si="2"/>
        <v>331.24638399867763</v>
      </c>
      <c r="H15" s="13">
        <f t="shared" si="3"/>
        <v>0.33124638399867762</v>
      </c>
      <c r="I15">
        <v>6</v>
      </c>
    </row>
    <row r="16" spans="1:10" x14ac:dyDescent="0.25">
      <c r="A16" t="s">
        <v>148</v>
      </c>
      <c r="B16">
        <v>47</v>
      </c>
      <c r="C16">
        <f t="shared" si="0"/>
        <v>2.35E-2</v>
      </c>
      <c r="D16" s="2">
        <f t="shared" si="1"/>
        <v>3.7972146458384993E-4</v>
      </c>
      <c r="E16" s="4">
        <f t="shared" si="2"/>
        <v>379.72146458384992</v>
      </c>
      <c r="H16" s="13">
        <f t="shared" si="3"/>
        <v>0.37972146458384992</v>
      </c>
      <c r="I16">
        <v>6</v>
      </c>
    </row>
    <row r="17" spans="1:9" x14ac:dyDescent="0.25">
      <c r="A17" t="s">
        <v>149</v>
      </c>
      <c r="B17">
        <v>37</v>
      </c>
      <c r="C17">
        <f t="shared" si="0"/>
        <v>1.8499999999999999E-2</v>
      </c>
      <c r="D17" s="2">
        <f t="shared" si="1"/>
        <v>2.9892966360856266E-4</v>
      </c>
      <c r="E17" s="4">
        <f t="shared" si="2"/>
        <v>298.92966360856263</v>
      </c>
      <c r="F17" s="4">
        <f>AVERAGE(E17:E19)</f>
        <v>358.1769843237733</v>
      </c>
      <c r="G17" s="27">
        <f>STDEV(E17:E19)/F17</f>
        <v>0.19707281837715987</v>
      </c>
      <c r="H17" s="13">
        <f t="shared" si="3"/>
        <v>0.29892966360856266</v>
      </c>
      <c r="I17">
        <v>12</v>
      </c>
    </row>
    <row r="18" spans="1:9" x14ac:dyDescent="0.25">
      <c r="A18" t="s">
        <v>150</v>
      </c>
      <c r="B18">
        <v>42</v>
      </c>
      <c r="C18">
        <f t="shared" si="0"/>
        <v>2.1000000000000001E-2</v>
      </c>
      <c r="D18" s="2">
        <f t="shared" si="1"/>
        <v>3.3932556409620629E-4</v>
      </c>
      <c r="E18" s="4">
        <f t="shared" si="2"/>
        <v>339.32556409620628</v>
      </c>
      <c r="H18" s="13">
        <f t="shared" si="3"/>
        <v>0.33932556409620629</v>
      </c>
      <c r="I18">
        <v>12</v>
      </c>
    </row>
    <row r="19" spans="1:9" x14ac:dyDescent="0.25">
      <c r="A19" t="s">
        <v>151</v>
      </c>
      <c r="B19">
        <v>54</v>
      </c>
      <c r="C19">
        <f t="shared" si="0"/>
        <v>2.7E-2</v>
      </c>
      <c r="D19" s="2">
        <f t="shared" si="1"/>
        <v>4.3627572526655094E-4</v>
      </c>
      <c r="E19" s="4">
        <f t="shared" si="2"/>
        <v>436.27572526655098</v>
      </c>
      <c r="H19" s="13">
        <f t="shared" si="3"/>
        <v>0.43627572526655095</v>
      </c>
      <c r="I19">
        <v>12</v>
      </c>
    </row>
    <row r="20" spans="1:9" x14ac:dyDescent="0.25">
      <c r="A20" t="s">
        <v>182</v>
      </c>
      <c r="B20">
        <v>42</v>
      </c>
      <c r="C20">
        <f t="shared" si="0"/>
        <v>2.1000000000000001E-2</v>
      </c>
      <c r="D20" s="2">
        <f t="shared" si="1"/>
        <v>3.3932556409620629E-4</v>
      </c>
      <c r="E20" s="4">
        <f t="shared" si="2"/>
        <v>339.32556409620628</v>
      </c>
      <c r="F20" s="4">
        <f>AVERAGE(E20:E22)</f>
        <v>320.47414386863926</v>
      </c>
      <c r="G20" s="27">
        <f>STDEV(E20:E22)/F20</f>
        <v>0.17160149459379917</v>
      </c>
      <c r="H20" s="13">
        <f t="shared" si="3"/>
        <v>0.33932556409620629</v>
      </c>
      <c r="I20">
        <v>16</v>
      </c>
    </row>
    <row r="21" spans="1:9" x14ac:dyDescent="0.25">
      <c r="A21" t="s">
        <v>183</v>
      </c>
      <c r="B21">
        <v>32</v>
      </c>
      <c r="C21">
        <f t="shared" si="0"/>
        <v>1.6E-2</v>
      </c>
      <c r="D21" s="2">
        <f t="shared" si="1"/>
        <v>2.5853376312091908E-4</v>
      </c>
      <c r="E21" s="4">
        <f t="shared" si="2"/>
        <v>258.5337631209191</v>
      </c>
      <c r="H21" s="13">
        <f t="shared" si="3"/>
        <v>0.25853376312091908</v>
      </c>
      <c r="I21">
        <v>16</v>
      </c>
    </row>
    <row r="22" spans="1:9" x14ac:dyDescent="0.25">
      <c r="A22" t="s">
        <v>184</v>
      </c>
      <c r="B22">
        <v>45</v>
      </c>
      <c r="C22">
        <f t="shared" si="0"/>
        <v>2.2499999999999999E-2</v>
      </c>
      <c r="D22" s="2">
        <f t="shared" si="1"/>
        <v>3.6356310438879244E-4</v>
      </c>
      <c r="E22" s="4">
        <f t="shared" si="2"/>
        <v>363.5631043887924</v>
      </c>
      <c r="H22" s="13">
        <f t="shared" si="3"/>
        <v>0.36356310438879241</v>
      </c>
      <c r="I22">
        <v>16</v>
      </c>
    </row>
    <row r="23" spans="1:9" x14ac:dyDescent="0.25">
      <c r="A23" t="s">
        <v>152</v>
      </c>
      <c r="B23">
        <v>42</v>
      </c>
      <c r="C23">
        <f t="shared" si="0"/>
        <v>2.1000000000000001E-2</v>
      </c>
      <c r="D23" s="2">
        <f t="shared" si="1"/>
        <v>3.3932556409620629E-4</v>
      </c>
      <c r="E23" s="4">
        <f t="shared" si="2"/>
        <v>339.32556409620628</v>
      </c>
      <c r="F23" s="4">
        <f>AVERAGE(E23:E25)</f>
        <v>371.64228448632122</v>
      </c>
      <c r="G23" s="27">
        <f>STDEV(E23:E25)/F23</f>
        <v>0.13223396804995885</v>
      </c>
      <c r="H23" s="13">
        <f t="shared" si="3"/>
        <v>0.33932556409620629</v>
      </c>
      <c r="I23">
        <v>24</v>
      </c>
    </row>
    <row r="24" spans="1:9" x14ac:dyDescent="0.25">
      <c r="A24" t="s">
        <v>153</v>
      </c>
      <c r="B24">
        <v>43</v>
      </c>
      <c r="C24">
        <f t="shared" si="0"/>
        <v>2.1499999999999998E-2</v>
      </c>
      <c r="D24" s="2">
        <f t="shared" si="1"/>
        <v>3.4740474419373501E-4</v>
      </c>
      <c r="E24" s="4">
        <f t="shared" si="2"/>
        <v>347.40474419373504</v>
      </c>
      <c r="H24" s="13">
        <f t="shared" si="3"/>
        <v>0.34740474419373502</v>
      </c>
      <c r="I24">
        <v>24</v>
      </c>
    </row>
    <row r="25" spans="1:9" x14ac:dyDescent="0.25">
      <c r="A25" t="s">
        <v>154</v>
      </c>
      <c r="B25">
        <v>53</v>
      </c>
      <c r="C25">
        <f t="shared" si="0"/>
        <v>2.6499999999999999E-2</v>
      </c>
      <c r="D25" s="2">
        <f t="shared" si="1"/>
        <v>4.2819654516902222E-4</v>
      </c>
      <c r="E25" s="4">
        <f t="shared" si="2"/>
        <v>428.19654516902222</v>
      </c>
      <c r="H25" s="13">
        <f t="shared" si="3"/>
        <v>0.42819654516902222</v>
      </c>
      <c r="I25">
        <v>24</v>
      </c>
    </row>
    <row r="26" spans="1:9" x14ac:dyDescent="0.25">
      <c r="A26" t="s">
        <v>155</v>
      </c>
      <c r="B26">
        <v>37</v>
      </c>
      <c r="C26">
        <f t="shared" si="0"/>
        <v>1.8499999999999999E-2</v>
      </c>
      <c r="D26" s="2">
        <f t="shared" si="1"/>
        <v>2.9892966360856266E-4</v>
      </c>
      <c r="E26" s="4">
        <f t="shared" si="2"/>
        <v>298.92966360856263</v>
      </c>
      <c r="F26" s="4">
        <f>AVERAGE(E26:E28)</f>
        <v>387.80064468137857</v>
      </c>
      <c r="G26" s="27">
        <f>STDEV(E26:E28)/F26</f>
        <v>0.43351358430593356</v>
      </c>
      <c r="H26" s="13">
        <f t="shared" si="3"/>
        <v>0.29892966360856266</v>
      </c>
      <c r="I26">
        <v>36</v>
      </c>
    </row>
    <row r="27" spans="1:9" x14ac:dyDescent="0.25">
      <c r="A27" t="s">
        <v>156</v>
      </c>
      <c r="B27">
        <v>35</v>
      </c>
      <c r="C27">
        <f t="shared" si="0"/>
        <v>1.7500000000000002E-2</v>
      </c>
      <c r="D27" s="2">
        <f t="shared" si="1"/>
        <v>2.8277130341350522E-4</v>
      </c>
      <c r="E27" s="4">
        <f t="shared" si="2"/>
        <v>282.77130341350522</v>
      </c>
      <c r="H27" s="13">
        <f t="shared" si="3"/>
        <v>0.2827713034135052</v>
      </c>
      <c r="I27">
        <v>36</v>
      </c>
    </row>
    <row r="28" spans="1:9" x14ac:dyDescent="0.25">
      <c r="A28" t="s">
        <v>157</v>
      </c>
      <c r="B28">
        <v>72</v>
      </c>
      <c r="C28">
        <f t="shared" si="0"/>
        <v>3.5999999999999997E-2</v>
      </c>
      <c r="D28" s="2">
        <f t="shared" si="1"/>
        <v>5.8170096702206788E-4</v>
      </c>
      <c r="E28" s="4">
        <f t="shared" si="2"/>
        <v>581.70096702206786</v>
      </c>
      <c r="H28" s="13">
        <f t="shared" si="3"/>
        <v>0.58170096702206786</v>
      </c>
      <c r="I28">
        <v>36</v>
      </c>
    </row>
    <row r="29" spans="1:9" x14ac:dyDescent="0.25">
      <c r="A29" t="s">
        <v>99</v>
      </c>
      <c r="B29">
        <v>3</v>
      </c>
      <c r="C29">
        <f t="shared" si="0"/>
        <v>1.5E-3</v>
      </c>
      <c r="D29" s="2">
        <f t="shared" si="1"/>
        <v>2.4237540292586165E-5</v>
      </c>
      <c r="E29" s="4">
        <f t="shared" si="2"/>
        <v>24.237540292586164</v>
      </c>
      <c r="F29" s="4">
        <f>AVERAGE(E29:E31)</f>
        <v>16.158360195057444</v>
      </c>
    </row>
    <row r="30" spans="1:9" x14ac:dyDescent="0.25">
      <c r="A30" t="s">
        <v>100</v>
      </c>
      <c r="B30">
        <v>3</v>
      </c>
      <c r="C30">
        <f t="shared" si="0"/>
        <v>1.5E-3</v>
      </c>
      <c r="D30" s="2">
        <f t="shared" si="1"/>
        <v>2.4237540292586165E-5</v>
      </c>
      <c r="E30" s="4">
        <f t="shared" si="2"/>
        <v>24.237540292586164</v>
      </c>
    </row>
    <row r="31" spans="1:9" x14ac:dyDescent="0.25">
      <c r="A31" t="s">
        <v>101</v>
      </c>
      <c r="B31">
        <v>0</v>
      </c>
      <c r="C31">
        <f t="shared" si="0"/>
        <v>0</v>
      </c>
      <c r="D31" s="2">
        <f t="shared" si="1"/>
        <v>0</v>
      </c>
      <c r="E31" s="4">
        <f t="shared" si="2"/>
        <v>0</v>
      </c>
    </row>
    <row r="32" spans="1:9" x14ac:dyDescent="0.25">
      <c r="D32" s="2"/>
      <c r="E32" s="4"/>
    </row>
    <row r="33" spans="1:5" x14ac:dyDescent="0.25">
      <c r="D33" s="2"/>
      <c r="E33" s="4"/>
    </row>
    <row r="34" spans="1:5" x14ac:dyDescent="0.25">
      <c r="A34" s="14" t="s">
        <v>164</v>
      </c>
      <c r="B34" s="14">
        <f t="array" ref="B34:C38">LINEST(E11:E28,I11:I28,TRUE,TRUE)</f>
        <v>-1.5326406639499202</v>
      </c>
      <c r="C34" s="15">
        <v>407.64105868896814</v>
      </c>
      <c r="D34" s="16" t="s">
        <v>165</v>
      </c>
      <c r="E34" s="17"/>
    </row>
    <row r="35" spans="1:5" x14ac:dyDescent="0.25">
      <c r="A35" s="14" t="s">
        <v>166</v>
      </c>
      <c r="B35" s="14">
        <v>2.0003408360555315</v>
      </c>
      <c r="C35" s="15">
        <v>39.30894541476691</v>
      </c>
      <c r="D35" s="16" t="s">
        <v>166</v>
      </c>
      <c r="E35" s="17"/>
    </row>
    <row r="36" spans="1:5" x14ac:dyDescent="0.25">
      <c r="A36" s="14" t="s">
        <v>167</v>
      </c>
      <c r="B36" s="14">
        <v>3.5391878758731857E-2</v>
      </c>
      <c r="C36" s="15">
        <v>94.810669303455242</v>
      </c>
      <c r="D36" s="16" t="s">
        <v>168</v>
      </c>
      <c r="E36" s="17"/>
    </row>
    <row r="37" spans="1:5" x14ac:dyDescent="0.25">
      <c r="A37" s="14" t="s">
        <v>169</v>
      </c>
      <c r="B37" s="14">
        <v>0.58704674745121088</v>
      </c>
      <c r="C37" s="15">
        <v>16</v>
      </c>
      <c r="D37" s="16" t="s">
        <v>170</v>
      </c>
      <c r="E37" s="17"/>
    </row>
    <row r="38" spans="1:5" x14ac:dyDescent="0.25">
      <c r="A38" s="14" t="s">
        <v>171</v>
      </c>
      <c r="B38" s="14">
        <v>5277.0002048671595</v>
      </c>
      <c r="C38" s="15">
        <v>143825.00822030642</v>
      </c>
      <c r="D38" s="16" t="s">
        <v>172</v>
      </c>
      <c r="E38" s="17"/>
    </row>
    <row r="39" spans="1:5" x14ac:dyDescent="0.25">
      <c r="D39" s="2"/>
      <c r="E39" s="4"/>
    </row>
    <row r="40" spans="1:5" x14ac:dyDescent="0.25">
      <c r="D40" s="2"/>
      <c r="E40" s="4"/>
    </row>
    <row r="41" spans="1:5" x14ac:dyDescent="0.25">
      <c r="A41" s="14" t="s">
        <v>173</v>
      </c>
      <c r="B41" s="14">
        <f>B34/B35</f>
        <v>-0.76618975942726419</v>
      </c>
      <c r="D41" s="2"/>
      <c r="E41" s="4"/>
    </row>
    <row r="42" spans="1:5" x14ac:dyDescent="0.25">
      <c r="A42" s="14" t="s">
        <v>174</v>
      </c>
      <c r="B42" s="14">
        <f>TDIST(ABS(B41),C37,2)</f>
        <v>0.4547195800272229</v>
      </c>
      <c r="C42" t="s">
        <v>175</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F24"/>
  <sheetViews>
    <sheetView workbookViewId="0">
      <selection activeCell="C27" sqref="C27"/>
    </sheetView>
  </sheetViews>
  <sheetFormatPr defaultColWidth="11" defaultRowHeight="15.75" x14ac:dyDescent="0.25"/>
  <cols>
    <col min="2" max="2" width="17.375" customWidth="1"/>
    <col min="3" max="3" width="20.625" customWidth="1"/>
    <col min="4" max="4" width="18.875" customWidth="1"/>
    <col min="6" max="6" width="21.625" customWidth="1"/>
    <col min="9" max="9" width="15.875" customWidth="1"/>
  </cols>
  <sheetData>
    <row r="1" spans="1:6" x14ac:dyDescent="0.25">
      <c r="A1" s="1" t="s">
        <v>201</v>
      </c>
    </row>
    <row r="3" spans="1:6" x14ac:dyDescent="0.25">
      <c r="A3" t="s">
        <v>75</v>
      </c>
      <c r="B3" t="s">
        <v>76</v>
      </c>
      <c r="C3" t="s">
        <v>77</v>
      </c>
      <c r="D3" t="s">
        <v>78</v>
      </c>
      <c r="E3" t="s">
        <v>79</v>
      </c>
      <c r="F3" t="s">
        <v>80</v>
      </c>
    </row>
    <row r="4" spans="1:6" x14ac:dyDescent="0.25">
      <c r="A4" t="s">
        <v>81</v>
      </c>
      <c r="B4">
        <v>5.7439999999999998E-2</v>
      </c>
      <c r="C4">
        <v>5.935E-2</v>
      </c>
      <c r="D4">
        <f>C4-B4</f>
        <v>1.910000000000002E-3</v>
      </c>
      <c r="E4">
        <v>15</v>
      </c>
      <c r="F4" s="2">
        <f>D4/E4</f>
        <v>1.2733333333333346E-4</v>
      </c>
    </row>
    <row r="5" spans="1:6" x14ac:dyDescent="0.25">
      <c r="A5" t="s">
        <v>82</v>
      </c>
      <c r="B5">
        <v>5.6410000000000002E-2</v>
      </c>
      <c r="C5">
        <v>5.8220000000000001E-2</v>
      </c>
      <c r="D5">
        <f t="shared" ref="D5:D24" si="0">C5-B5</f>
        <v>1.8099999999999991E-3</v>
      </c>
      <c r="E5">
        <v>15</v>
      </c>
      <c r="F5" s="2">
        <f t="shared" ref="F5:F24" si="1">D5/E5</f>
        <v>1.2066666666666661E-4</v>
      </c>
    </row>
    <row r="6" spans="1:6" x14ac:dyDescent="0.25">
      <c r="A6" t="s">
        <v>83</v>
      </c>
      <c r="B6">
        <v>6.3299999999999995E-2</v>
      </c>
      <c r="C6">
        <v>6.5019999999999994E-2</v>
      </c>
      <c r="D6">
        <f t="shared" si="0"/>
        <v>1.7199999999999993E-3</v>
      </c>
      <c r="E6">
        <v>15</v>
      </c>
      <c r="F6" s="2">
        <f t="shared" si="1"/>
        <v>1.1466666666666662E-4</v>
      </c>
    </row>
    <row r="7" spans="1:6" x14ac:dyDescent="0.25">
      <c r="A7" t="s">
        <v>84</v>
      </c>
      <c r="B7">
        <v>6.0920000000000002E-2</v>
      </c>
      <c r="C7">
        <v>6.2640000000000001E-2</v>
      </c>
      <c r="D7">
        <f t="shared" si="0"/>
        <v>1.7199999999999993E-3</v>
      </c>
      <c r="E7">
        <v>15</v>
      </c>
      <c r="F7" s="2">
        <f t="shared" si="1"/>
        <v>1.1466666666666662E-4</v>
      </c>
    </row>
    <row r="8" spans="1:6" x14ac:dyDescent="0.25">
      <c r="A8" t="s">
        <v>85</v>
      </c>
      <c r="B8">
        <v>5.7020000000000001E-2</v>
      </c>
      <c r="C8">
        <v>5.8659999999999997E-2</v>
      </c>
      <c r="D8">
        <f t="shared" si="0"/>
        <v>1.6399999999999956E-3</v>
      </c>
      <c r="E8">
        <v>15</v>
      </c>
      <c r="F8" s="2">
        <f t="shared" si="1"/>
        <v>1.0933333333333304E-4</v>
      </c>
    </row>
    <row r="9" spans="1:6" x14ac:dyDescent="0.25">
      <c r="A9" t="s">
        <v>86</v>
      </c>
      <c r="B9">
        <v>5.6950000000000001E-2</v>
      </c>
      <c r="C9">
        <v>5.8389999999999997E-2</v>
      </c>
      <c r="D9">
        <f t="shared" si="0"/>
        <v>1.4399999999999968E-3</v>
      </c>
      <c r="E9">
        <v>16</v>
      </c>
      <c r="F9" s="2">
        <f t="shared" si="1"/>
        <v>8.9999999999999802E-5</v>
      </c>
    </row>
    <row r="10" spans="1:6" x14ac:dyDescent="0.25">
      <c r="A10" t="s">
        <v>87</v>
      </c>
      <c r="B10">
        <v>4.4389999999999999E-2</v>
      </c>
      <c r="C10">
        <v>4.5879999999999997E-2</v>
      </c>
      <c r="D10">
        <f t="shared" si="0"/>
        <v>1.4899999999999983E-3</v>
      </c>
      <c r="E10">
        <v>14</v>
      </c>
      <c r="F10" s="2">
        <f t="shared" si="1"/>
        <v>1.0642857142857131E-4</v>
      </c>
    </row>
    <row r="11" spans="1:6" x14ac:dyDescent="0.25">
      <c r="A11" t="s">
        <v>88</v>
      </c>
      <c r="B11">
        <v>6.7349999999999993E-2</v>
      </c>
      <c r="C11">
        <v>6.8820000000000006E-2</v>
      </c>
      <c r="D11">
        <f t="shared" si="0"/>
        <v>1.470000000000013E-3</v>
      </c>
      <c r="E11">
        <v>13</v>
      </c>
      <c r="F11" s="2">
        <f t="shared" si="1"/>
        <v>1.1307692307692407E-4</v>
      </c>
    </row>
    <row r="12" spans="1:6" x14ac:dyDescent="0.25">
      <c r="A12" t="s">
        <v>89</v>
      </c>
      <c r="B12">
        <v>5.382E-2</v>
      </c>
      <c r="C12">
        <v>5.5489999999999998E-2</v>
      </c>
      <c r="D12">
        <f t="shared" si="0"/>
        <v>1.6699999999999979E-3</v>
      </c>
      <c r="E12">
        <v>16</v>
      </c>
      <c r="F12" s="2">
        <f>D12/E12</f>
        <v>1.0437499999999987E-4</v>
      </c>
    </row>
    <row r="13" spans="1:6" x14ac:dyDescent="0.25">
      <c r="A13" t="s">
        <v>177</v>
      </c>
      <c r="B13">
        <v>6.4180000000000001E-2</v>
      </c>
      <c r="C13">
        <v>6.5879999999999994E-2</v>
      </c>
      <c r="D13">
        <f t="shared" si="0"/>
        <v>1.6999999999999932E-3</v>
      </c>
      <c r="E13">
        <v>16</v>
      </c>
      <c r="F13" s="2">
        <f t="shared" si="1"/>
        <v>1.0624999999999957E-4</v>
      </c>
    </row>
    <row r="14" spans="1:6" x14ac:dyDescent="0.25">
      <c r="A14" t="s">
        <v>178</v>
      </c>
      <c r="B14">
        <v>6.9120000000000001E-2</v>
      </c>
      <c r="C14">
        <v>7.0309999999999997E-2</v>
      </c>
      <c r="D14">
        <f t="shared" si="0"/>
        <v>1.1899999999999966E-3</v>
      </c>
      <c r="E14">
        <v>14</v>
      </c>
      <c r="F14" s="2">
        <f t="shared" si="1"/>
        <v>8.4999999999999762E-5</v>
      </c>
    </row>
    <row r="15" spans="1:6" x14ac:dyDescent="0.25">
      <c r="A15" t="s">
        <v>179</v>
      </c>
      <c r="B15">
        <v>6.5559999999999993E-2</v>
      </c>
      <c r="C15">
        <v>6.6919999999999993E-2</v>
      </c>
      <c r="D15">
        <f t="shared" si="0"/>
        <v>1.3600000000000001E-3</v>
      </c>
      <c r="E15">
        <v>15</v>
      </c>
      <c r="F15" s="2">
        <f t="shared" si="1"/>
        <v>9.066666666666667E-5</v>
      </c>
    </row>
    <row r="16" spans="1:6" x14ac:dyDescent="0.25">
      <c r="A16" t="s">
        <v>90</v>
      </c>
      <c r="B16">
        <v>4.9349999999999998E-2</v>
      </c>
      <c r="C16">
        <v>5.0349999999999999E-2</v>
      </c>
      <c r="D16">
        <f t="shared" si="0"/>
        <v>1.0000000000000009E-3</v>
      </c>
      <c r="E16">
        <v>14</v>
      </c>
      <c r="F16" s="2">
        <f t="shared" si="1"/>
        <v>7.1428571428571488E-5</v>
      </c>
    </row>
    <row r="17" spans="1:6" x14ac:dyDescent="0.25">
      <c r="A17" t="s">
        <v>91</v>
      </c>
      <c r="B17">
        <v>4.1700000000000001E-2</v>
      </c>
      <c r="C17">
        <v>4.2889999999999998E-2</v>
      </c>
      <c r="D17">
        <f t="shared" si="0"/>
        <v>1.1899999999999966E-3</v>
      </c>
      <c r="E17">
        <v>14</v>
      </c>
      <c r="F17" s="2">
        <f t="shared" si="1"/>
        <v>8.4999999999999762E-5</v>
      </c>
    </row>
    <row r="18" spans="1:6" x14ac:dyDescent="0.25">
      <c r="A18" t="s">
        <v>92</v>
      </c>
      <c r="B18">
        <v>6.1100000000000002E-2</v>
      </c>
      <c r="C18">
        <v>6.2190000000000002E-2</v>
      </c>
      <c r="D18">
        <f t="shared" si="0"/>
        <v>1.0900000000000007E-3</v>
      </c>
      <c r="E18">
        <v>14</v>
      </c>
      <c r="F18" s="2">
        <f t="shared" si="1"/>
        <v>7.7857142857142901E-5</v>
      </c>
    </row>
    <row r="19" spans="1:6" x14ac:dyDescent="0.25">
      <c r="A19" t="s">
        <v>93</v>
      </c>
      <c r="B19">
        <v>5.8840000000000003E-2</v>
      </c>
      <c r="C19">
        <v>6.0010000000000001E-2</v>
      </c>
      <c r="D19">
        <f t="shared" si="0"/>
        <v>1.1699999999999974E-3</v>
      </c>
      <c r="E19">
        <v>15</v>
      </c>
      <c r="F19" s="2">
        <f t="shared" si="1"/>
        <v>7.7999999999999822E-5</v>
      </c>
    </row>
    <row r="20" spans="1:6" x14ac:dyDescent="0.25">
      <c r="A20" t="s">
        <v>94</v>
      </c>
      <c r="B20">
        <v>6.1679999999999999E-2</v>
      </c>
      <c r="C20">
        <v>6.3170000000000004E-2</v>
      </c>
      <c r="D20">
        <f t="shared" si="0"/>
        <v>1.4900000000000052E-3</v>
      </c>
      <c r="E20">
        <v>15</v>
      </c>
      <c r="F20" s="2">
        <f t="shared" si="1"/>
        <v>9.9333333333333679E-5</v>
      </c>
    </row>
    <row r="21" spans="1:6" x14ac:dyDescent="0.25">
      <c r="A21" t="s">
        <v>95</v>
      </c>
      <c r="B21">
        <v>6.2100000000000002E-2</v>
      </c>
      <c r="C21">
        <v>6.3320000000000001E-2</v>
      </c>
      <c r="D21">
        <f t="shared" si="0"/>
        <v>1.2199999999999989E-3</v>
      </c>
      <c r="E21">
        <v>15</v>
      </c>
      <c r="F21" s="2">
        <f t="shared" si="1"/>
        <v>8.1333333333333255E-5</v>
      </c>
    </row>
    <row r="22" spans="1:6" x14ac:dyDescent="0.25">
      <c r="A22" t="s">
        <v>99</v>
      </c>
      <c r="B22">
        <v>5.2209999999999999E-2</v>
      </c>
      <c r="C22">
        <v>5.3469999999999997E-2</v>
      </c>
      <c r="D22">
        <f t="shared" si="0"/>
        <v>1.2599999999999972E-3</v>
      </c>
      <c r="E22">
        <v>15</v>
      </c>
      <c r="F22" s="2">
        <f t="shared" si="1"/>
        <v>8.3999999999999819E-5</v>
      </c>
    </row>
    <row r="23" spans="1:6" x14ac:dyDescent="0.25">
      <c r="A23" t="s">
        <v>100</v>
      </c>
      <c r="B23">
        <v>6.5949999999999995E-2</v>
      </c>
      <c r="C23">
        <v>6.7180000000000004E-2</v>
      </c>
      <c r="D23">
        <f t="shared" si="0"/>
        <v>1.2300000000000089E-3</v>
      </c>
      <c r="E23">
        <v>15</v>
      </c>
      <c r="F23" s="2">
        <f t="shared" si="1"/>
        <v>8.2000000000000597E-5</v>
      </c>
    </row>
    <row r="24" spans="1:6" x14ac:dyDescent="0.25">
      <c r="A24" t="s">
        <v>101</v>
      </c>
      <c r="B24">
        <v>6.3210000000000002E-2</v>
      </c>
      <c r="C24">
        <v>6.4519999999999994E-2</v>
      </c>
      <c r="D24">
        <f t="shared" si="0"/>
        <v>1.3099999999999917E-3</v>
      </c>
      <c r="E24">
        <v>14</v>
      </c>
      <c r="F24" s="2">
        <f t="shared" si="1"/>
        <v>9.3571428571427982E-5</v>
      </c>
    </row>
  </sheetData>
  <pageMargins left="0.75" right="0.7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O52"/>
  <sheetViews>
    <sheetView topLeftCell="J26" workbookViewId="0">
      <selection activeCell="C27" sqref="C27"/>
    </sheetView>
  </sheetViews>
  <sheetFormatPr defaultColWidth="11" defaultRowHeight="15.75" x14ac:dyDescent="0.25"/>
  <cols>
    <col min="1" max="1" width="14.125" customWidth="1"/>
    <col min="2" max="2" width="24" customWidth="1"/>
    <col min="5" max="5" width="16" customWidth="1"/>
    <col min="10" max="10" width="15.875" customWidth="1"/>
  </cols>
  <sheetData>
    <row r="1" spans="1:10" x14ac:dyDescent="0.25">
      <c r="D1" t="s">
        <v>102</v>
      </c>
      <c r="E1">
        <v>21</v>
      </c>
    </row>
    <row r="3" spans="1:10" x14ac:dyDescent="0.25">
      <c r="A3" t="s">
        <v>75</v>
      </c>
      <c r="B3" t="s">
        <v>103</v>
      </c>
      <c r="C3" t="s">
        <v>104</v>
      </c>
      <c r="D3" t="s">
        <v>105</v>
      </c>
      <c r="E3" t="s">
        <v>106</v>
      </c>
    </row>
    <row r="4" spans="1:10" x14ac:dyDescent="0.25">
      <c r="A4" t="s">
        <v>108</v>
      </c>
      <c r="B4">
        <v>0</v>
      </c>
      <c r="D4">
        <v>0</v>
      </c>
      <c r="E4">
        <v>0</v>
      </c>
      <c r="G4">
        <v>0</v>
      </c>
    </row>
    <row r="5" spans="1:10" x14ac:dyDescent="0.25">
      <c r="A5" t="s">
        <v>109</v>
      </c>
      <c r="B5">
        <v>3</v>
      </c>
      <c r="D5">
        <v>0</v>
      </c>
      <c r="E5">
        <v>0</v>
      </c>
      <c r="G5">
        <v>0</v>
      </c>
    </row>
    <row r="6" spans="1:10" x14ac:dyDescent="0.25">
      <c r="A6" t="s">
        <v>81</v>
      </c>
      <c r="B6">
        <v>360</v>
      </c>
      <c r="C6" s="4">
        <f>(B6*391)/(2220000*10.9)*1000/'Esc Masses 1.0 23'!D4</f>
        <v>3045.5548011626556</v>
      </c>
      <c r="D6" s="5">
        <f>(B6*391)/(2220000*10.9)*1000/'Esc Masses 1.0 23'!E4</f>
        <v>0.38780064468137859</v>
      </c>
      <c r="E6" s="4">
        <f>AVERAGE(C6:C8)</f>
        <v>2859.4795021749082</v>
      </c>
      <c r="F6" s="27">
        <f>STDEV(C6:C8)/E6</f>
        <v>0.23511317754978606</v>
      </c>
      <c r="G6">
        <v>3</v>
      </c>
      <c r="I6" t="s">
        <v>110</v>
      </c>
      <c r="J6" t="s">
        <v>106</v>
      </c>
    </row>
    <row r="7" spans="1:10" x14ac:dyDescent="0.25">
      <c r="A7" t="s">
        <v>82</v>
      </c>
      <c r="B7">
        <v>383</v>
      </c>
      <c r="C7" s="4">
        <f>(B7*391)/(2220000*10.9)*1000/'Esc Masses 1.0 23'!D5</f>
        <v>3419.1447263574605</v>
      </c>
      <c r="D7" s="5">
        <f>(B7*391)/(2220000*10.9)*1000/'Esc Masses 1.0 23'!E5</f>
        <v>0.41257679698046673</v>
      </c>
      <c r="G7">
        <v>3</v>
      </c>
      <c r="I7">
        <v>3</v>
      </c>
      <c r="J7">
        <v>3453</v>
      </c>
    </row>
    <row r="8" spans="1:10" x14ac:dyDescent="0.25">
      <c r="A8" t="s">
        <v>83</v>
      </c>
      <c r="B8">
        <v>225</v>
      </c>
      <c r="C8" s="4">
        <f>(B8*391)/(2220000*10.9)*1000/'Esc Masses 1.0 23'!D6</f>
        <v>2113.7389790046082</v>
      </c>
      <c r="D8" s="5">
        <f>(B8*391)/(2220000*10.9)*1000/'Esc Masses 1.0 23'!E6</f>
        <v>0.24237540292586165</v>
      </c>
      <c r="G8">
        <v>3</v>
      </c>
      <c r="I8">
        <v>6</v>
      </c>
      <c r="J8">
        <v>3336</v>
      </c>
    </row>
    <row r="9" spans="1:10" x14ac:dyDescent="0.25">
      <c r="A9" t="s">
        <v>84</v>
      </c>
      <c r="B9">
        <v>279</v>
      </c>
      <c r="C9" s="4">
        <f>(B9*391)/(2220000*10.9)*1000/'Esc Masses 1.0 23'!D7</f>
        <v>2621.0363339657142</v>
      </c>
      <c r="D9" s="5">
        <f>(B9*391)/(2220000*10.9)*1000/'Esc Masses 1.0 23'!E7</f>
        <v>0.30054549962806842</v>
      </c>
      <c r="E9" s="4">
        <f>AVERAGE(C9:C11)</f>
        <v>3277.6362616152637</v>
      </c>
      <c r="F9" s="27">
        <f>STDEV(C9:C11)/E9</f>
        <v>0.1955463236460146</v>
      </c>
      <c r="G9">
        <v>6</v>
      </c>
      <c r="I9">
        <v>12</v>
      </c>
      <c r="J9">
        <v>3755</v>
      </c>
    </row>
    <row r="10" spans="1:10" x14ac:dyDescent="0.25">
      <c r="A10" t="s">
        <v>85</v>
      </c>
      <c r="B10">
        <v>396</v>
      </c>
      <c r="C10" s="4">
        <f>(B10*391)/(2220000*10.9)*1000/'Esc Masses 1.0 23'!D8</f>
        <v>3901.6528275870519</v>
      </c>
      <c r="D10" s="5">
        <f>(B10*391)/(2220000*10.9)*1000/'Esc Masses 1.0 23'!E8</f>
        <v>0.42658070914951651</v>
      </c>
      <c r="G10">
        <v>6</v>
      </c>
      <c r="I10">
        <v>16</v>
      </c>
      <c r="J10">
        <v>4188</v>
      </c>
    </row>
    <row r="11" spans="1:10" x14ac:dyDescent="0.25">
      <c r="A11" t="s">
        <v>86</v>
      </c>
      <c r="B11">
        <v>295</v>
      </c>
      <c r="C11" s="4">
        <f>(B11*391)/(2220000*10.9)*1000/'Esc Masses 1.0 23'!D9</f>
        <v>3310.2196232930251</v>
      </c>
      <c r="D11" s="5">
        <f>(B11*391)/(2220000*10.9)*1000/'Esc Masses 1.0 23'!E9</f>
        <v>0.29791976609637161</v>
      </c>
      <c r="G11">
        <v>6</v>
      </c>
      <c r="I11">
        <v>24</v>
      </c>
      <c r="J11">
        <v>5087</v>
      </c>
    </row>
    <row r="12" spans="1:10" x14ac:dyDescent="0.25">
      <c r="A12" t="s">
        <v>87</v>
      </c>
      <c r="B12">
        <v>355</v>
      </c>
      <c r="C12" s="4">
        <f>(B12*391)/(2220000*10.9)*1000/'Esc Masses 1.0 23'!D10</f>
        <v>3849.8106505002675</v>
      </c>
      <c r="D12" s="5">
        <f>(B12*391)/(2220000*10.9)*1000/'Esc Masses 1.0 23'!E10</f>
        <v>0.40972984780324229</v>
      </c>
      <c r="E12" s="4">
        <f>AVERAGE(C12:C14)</f>
        <v>4358.9687842484136</v>
      </c>
      <c r="F12" s="27">
        <f>STDEV(C12:C14)/E12</f>
        <v>0.1050840642487906</v>
      </c>
      <c r="G12">
        <v>12</v>
      </c>
      <c r="I12">
        <v>36</v>
      </c>
      <c r="J12">
        <v>9983</v>
      </c>
    </row>
    <row r="13" spans="1:10" x14ac:dyDescent="0.25">
      <c r="A13" t="s">
        <v>88</v>
      </c>
      <c r="B13">
        <v>431</v>
      </c>
      <c r="C13" s="4">
        <f>(B13*391)/(2220000*10.9)*1000/'Esc Masses 1.0 23'!D11</f>
        <v>4737.5872408637388</v>
      </c>
      <c r="D13" s="5">
        <f>(B13*391)/(2220000*10.9)*1000/'Esc Masses 1.0 23'!E11</f>
        <v>0.53571178800536601</v>
      </c>
      <c r="G13">
        <v>12</v>
      </c>
    </row>
    <row r="14" spans="1:10" x14ac:dyDescent="0.25">
      <c r="A14" t="s">
        <v>89</v>
      </c>
      <c r="B14">
        <v>464</v>
      </c>
      <c r="C14" s="4">
        <f>(B14*391)/(2220000*10.9)*1000/'Esc Masses 1.0 23'!D12</f>
        <v>4489.5084613812351</v>
      </c>
      <c r="D14" s="5">
        <f>(B14*391)/(2220000*10.9)*1000/'Esc Masses 1.0 23'!E12</f>
        <v>0.46859244565666586</v>
      </c>
      <c r="G14">
        <v>12</v>
      </c>
    </row>
    <row r="15" spans="1:10" x14ac:dyDescent="0.25">
      <c r="A15" t="s">
        <v>177</v>
      </c>
      <c r="B15">
        <v>629</v>
      </c>
      <c r="C15" s="4">
        <f>(B15*391)/(2220000*10.9)*1000/'Esc Masses 1.0 23'!D13</f>
        <v>5978.5932721712779</v>
      </c>
      <c r="D15" s="5">
        <f>(B15*391)/(2220000*10.9)*1000/'Esc Masses 1.0 23'!E13</f>
        <v>0.63522553516819569</v>
      </c>
      <c r="E15" s="4">
        <f>AVERAGE(C15:C17)</f>
        <v>5638.679308404091</v>
      </c>
      <c r="F15" s="27">
        <f>STDEV(C15:C17)/E15</f>
        <v>0.11328433237330197</v>
      </c>
      <c r="G15">
        <v>16</v>
      </c>
    </row>
    <row r="16" spans="1:10" x14ac:dyDescent="0.25">
      <c r="A16" t="s">
        <v>178</v>
      </c>
      <c r="B16">
        <v>361</v>
      </c>
      <c r="C16" s="4">
        <f>(B16*391)/(2220000*10.9)*1000/'Esc Masses 1.0 23'!D14</f>
        <v>4901.821874298952</v>
      </c>
      <c r="D16" s="5">
        <f>(B16*391)/(2220000*10.9)*1000/'Esc Masses 1.0 23'!E14</f>
        <v>0.41665485931540974</v>
      </c>
      <c r="G16">
        <v>16</v>
      </c>
    </row>
    <row r="17" spans="1:15" x14ac:dyDescent="0.25">
      <c r="A17" t="s">
        <v>179</v>
      </c>
      <c r="B17">
        <v>508</v>
      </c>
      <c r="C17" s="4">
        <f>(B17*391)/(2220000*10.9)*1000/'Esc Masses 1.0 23'!D15</f>
        <v>6035.6227787420439</v>
      </c>
      <c r="D17" s="5">
        <f>(B17*391)/(2220000*10.9)*1000/'Esc Masses 1.0 23'!E15</f>
        <v>0.54722979860594534</v>
      </c>
      <c r="G17">
        <v>16</v>
      </c>
    </row>
    <row r="18" spans="1:15" x14ac:dyDescent="0.25">
      <c r="A18" t="s">
        <v>90</v>
      </c>
      <c r="B18">
        <v>439</v>
      </c>
      <c r="C18" s="4">
        <f>(B18*391)/(2220000*10.9)*1000/'Esc Masses 1.0 23'!D16</f>
        <v>7093.5201256302107</v>
      </c>
      <c r="D18" s="5">
        <f>(B18*391)/(2220000*10.9)*1000/'Esc Masses 1.0 23'!E16</f>
        <v>0.50668000897358689</v>
      </c>
      <c r="E18" s="4">
        <f>AVERAGE(C18:C20)</f>
        <v>8231.8936886313404</v>
      </c>
      <c r="F18" s="27">
        <f>STDEV(C18:C20)/E18</f>
        <v>0.12521756869206033</v>
      </c>
      <c r="G18">
        <v>24</v>
      </c>
    </row>
    <row r="19" spans="1:15" x14ac:dyDescent="0.25">
      <c r="A19" t="s">
        <v>91</v>
      </c>
      <c r="B19">
        <v>626</v>
      </c>
      <c r="C19" s="4">
        <f>(B19*391)/(2220000*10.9)*1000/'Esc Masses 1.0 23'!D17</f>
        <v>8500.1121698369643</v>
      </c>
      <c r="D19" s="5">
        <f>(B19*391)/(2220000*10.9)*1000/'Esc Masses 1.0 23'!E17</f>
        <v>0.72250953443613997</v>
      </c>
      <c r="G19">
        <v>24</v>
      </c>
    </row>
    <row r="20" spans="1:15" x14ac:dyDescent="0.25">
      <c r="A20" t="s">
        <v>92</v>
      </c>
      <c r="B20">
        <v>614</v>
      </c>
      <c r="C20" s="4">
        <f>(B20*391)/(2220000*10.9)*1000/'Esc Masses 1.0 23'!D18</f>
        <v>9102.0487704268471</v>
      </c>
      <c r="D20" s="5">
        <f>(B20*391)/(2220000*10.9)*1000/'Esc Masses 1.0 23'!E18</f>
        <v>0.70865951141180505</v>
      </c>
      <c r="G20">
        <v>24</v>
      </c>
    </row>
    <row r="21" spans="1:15" x14ac:dyDescent="0.25">
      <c r="A21" t="s">
        <v>93</v>
      </c>
      <c r="B21">
        <v>831</v>
      </c>
      <c r="C21" s="4">
        <f>(B21*391)/(2220000*10.9)*1000/'Esc Masses 1.0 23'!D19</f>
        <v>11476.578907771594</v>
      </c>
      <c r="D21" s="5">
        <f>(B21*391)/(2220000*10.9)*1000/'Esc Masses 1.0 23'!E19</f>
        <v>0.89517315480618231</v>
      </c>
      <c r="E21" s="4">
        <f>AVERAGE(C21:C23)</f>
        <v>11807.105566726283</v>
      </c>
      <c r="F21" s="27">
        <f>STDEV(C21:C23)/E21</f>
        <v>0.21902455385002512</v>
      </c>
      <c r="G21">
        <v>36</v>
      </c>
    </row>
    <row r="22" spans="1:15" x14ac:dyDescent="0.25">
      <c r="A22" t="s">
        <v>94</v>
      </c>
      <c r="B22">
        <v>867</v>
      </c>
      <c r="C22" s="4">
        <f>(B22*391)/(2220000*10.9)*1000/'Esc Masses 1.0 23'!D20</f>
        <v>9402.2136168555389</v>
      </c>
      <c r="D22" s="5">
        <f>(B22*391)/(2220000*10.9)*1000/'Esc Masses 1.0 23'!E20</f>
        <v>0.93395321927432018</v>
      </c>
      <c r="G22">
        <v>36</v>
      </c>
    </row>
    <row r="23" spans="1:15" x14ac:dyDescent="0.25">
      <c r="A23" t="s">
        <v>95</v>
      </c>
      <c r="B23">
        <v>1098</v>
      </c>
      <c r="C23" s="4">
        <f>(B23*391)/(2220000*10.9)*1000/'Esc Masses 1.0 23'!D21</f>
        <v>14542.524175551713</v>
      </c>
      <c r="D23" s="5">
        <f>(B23*391)/(2220000*10.9)*1000/'Esc Masses 1.0 23'!E21</f>
        <v>1.1827919662782049</v>
      </c>
      <c r="G23">
        <v>36</v>
      </c>
    </row>
    <row r="24" spans="1:15" x14ac:dyDescent="0.25">
      <c r="A24" t="s">
        <v>99</v>
      </c>
      <c r="B24">
        <v>0</v>
      </c>
      <c r="C24" s="4">
        <f>(B24*391)/(2220000*10.9)*1000/'Esc Masses 1.0 23'!D22</f>
        <v>0</v>
      </c>
      <c r="D24" s="5">
        <f>(B24*391)/(2220000*10.9)*1000/'Esc Masses 1.0 23'!E22</f>
        <v>0</v>
      </c>
      <c r="E24" s="4">
        <f>AVERAGE(C24:C25)</f>
        <v>0</v>
      </c>
      <c r="F24" s="27" t="e">
        <f>STDEV(C24:C26)/E24</f>
        <v>#DIV/0!</v>
      </c>
    </row>
    <row r="25" spans="1:15" x14ac:dyDescent="0.25">
      <c r="A25" t="s">
        <v>100</v>
      </c>
      <c r="B25">
        <v>0</v>
      </c>
      <c r="C25" s="4">
        <f>(B25*391)/(2220000*10.9)*1000/'Esc Masses 1.0 23'!D23</f>
        <v>0</v>
      </c>
      <c r="D25" s="5">
        <f>(B25*391)/(2220000*10.9)*1000/'Esc Masses 1.0 23'!E23</f>
        <v>0</v>
      </c>
    </row>
    <row r="26" spans="1:15" x14ac:dyDescent="0.25">
      <c r="A26" t="s">
        <v>101</v>
      </c>
      <c r="B26">
        <v>0</v>
      </c>
      <c r="C26" s="4">
        <f>(B26*391)/(2220000*10.9)*1000/'Esc Masses 1.0 23'!D24</f>
        <v>0</v>
      </c>
      <c r="D26" s="5">
        <f>(B26*391)/(2220000*10.9)*1000/'Esc Masses 1.0 23'!E24</f>
        <v>0</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4</v>
      </c>
      <c r="C32">
        <v>0</v>
      </c>
      <c r="D32">
        <v>0</v>
      </c>
      <c r="E32">
        <v>1</v>
      </c>
      <c r="F32">
        <v>0</v>
      </c>
      <c r="G32" s="28">
        <f t="shared" ref="G32:G38" si="0">(E32)/(SUM(B32+C32+D32+E32+F32))</f>
        <v>0.2</v>
      </c>
      <c r="I32" t="s">
        <v>102</v>
      </c>
      <c r="J32">
        <v>21</v>
      </c>
      <c r="L32">
        <v>0</v>
      </c>
      <c r="M32">
        <v>0</v>
      </c>
      <c r="N32">
        <v>0</v>
      </c>
      <c r="O32">
        <v>0</v>
      </c>
    </row>
    <row r="33" spans="1:15" x14ac:dyDescent="0.25">
      <c r="A33" t="s">
        <v>123</v>
      </c>
      <c r="B33">
        <v>38</v>
      </c>
      <c r="C33">
        <v>3</v>
      </c>
      <c r="D33">
        <v>10</v>
      </c>
      <c r="E33">
        <v>392</v>
      </c>
      <c r="F33">
        <v>0</v>
      </c>
      <c r="G33" s="28">
        <f t="shared" si="0"/>
        <v>0.88487584650112872</v>
      </c>
      <c r="L33">
        <v>0</v>
      </c>
      <c r="M33">
        <v>0</v>
      </c>
      <c r="N33">
        <v>0</v>
      </c>
      <c r="O33">
        <v>0</v>
      </c>
    </row>
    <row r="34" spans="1:15" x14ac:dyDescent="0.25">
      <c r="A34" t="s">
        <v>124</v>
      </c>
      <c r="B34">
        <v>64</v>
      </c>
      <c r="C34">
        <v>6</v>
      </c>
      <c r="D34">
        <v>10</v>
      </c>
      <c r="E34">
        <v>390</v>
      </c>
      <c r="F34">
        <v>5</v>
      </c>
      <c r="G34" s="28">
        <f t="shared" si="0"/>
        <v>0.82105263157894737</v>
      </c>
      <c r="L34">
        <v>0</v>
      </c>
      <c r="M34">
        <v>0</v>
      </c>
      <c r="N34">
        <v>0</v>
      </c>
      <c r="O34">
        <v>0</v>
      </c>
    </row>
    <row r="35" spans="1:15" x14ac:dyDescent="0.25">
      <c r="A35" t="s">
        <v>125</v>
      </c>
      <c r="B35">
        <v>149</v>
      </c>
      <c r="C35">
        <v>4</v>
      </c>
      <c r="D35">
        <v>17</v>
      </c>
      <c r="E35">
        <v>448</v>
      </c>
      <c r="F35">
        <v>0</v>
      </c>
      <c r="G35" s="28">
        <f t="shared" si="0"/>
        <v>0.72491909385113273</v>
      </c>
      <c r="L35">
        <v>3</v>
      </c>
      <c r="M35">
        <v>3046</v>
      </c>
      <c r="N35" s="4">
        <f>M35*0.88</f>
        <v>2680.48</v>
      </c>
      <c r="O35" s="4">
        <f>M35-N35</f>
        <v>365.52</v>
      </c>
    </row>
    <row r="36" spans="1:15" x14ac:dyDescent="0.25">
      <c r="A36" t="s">
        <v>180</v>
      </c>
      <c r="B36">
        <v>217</v>
      </c>
      <c r="C36">
        <v>14</v>
      </c>
      <c r="D36">
        <v>23</v>
      </c>
      <c r="E36">
        <v>407</v>
      </c>
      <c r="F36">
        <v>3</v>
      </c>
      <c r="G36" s="28">
        <f t="shared" si="0"/>
        <v>0.61295180722891562</v>
      </c>
      <c r="L36">
        <v>3</v>
      </c>
      <c r="M36">
        <v>3419</v>
      </c>
      <c r="N36" s="4">
        <f>M36*0.88</f>
        <v>3008.72</v>
      </c>
      <c r="O36" s="4">
        <f t="shared" ref="O36:O52" si="1">M36-N36</f>
        <v>410.2800000000002</v>
      </c>
    </row>
    <row r="37" spans="1:15" x14ac:dyDescent="0.25">
      <c r="A37" t="s">
        <v>126</v>
      </c>
      <c r="B37">
        <v>408</v>
      </c>
      <c r="C37">
        <v>22</v>
      </c>
      <c r="D37">
        <v>34</v>
      </c>
      <c r="E37">
        <v>580</v>
      </c>
      <c r="F37">
        <v>4</v>
      </c>
      <c r="G37" s="28">
        <f t="shared" si="0"/>
        <v>0.55343511450381677</v>
      </c>
      <c r="L37">
        <v>3</v>
      </c>
      <c r="M37">
        <v>2114</v>
      </c>
      <c r="N37" s="4">
        <f>M37*0.88</f>
        <v>1860.32</v>
      </c>
      <c r="O37" s="4">
        <f t="shared" si="1"/>
        <v>253.68000000000006</v>
      </c>
    </row>
    <row r="38" spans="1:15" x14ac:dyDescent="0.25">
      <c r="A38" t="s">
        <v>127</v>
      </c>
      <c r="B38">
        <v>646</v>
      </c>
      <c r="C38">
        <v>146</v>
      </c>
      <c r="D38">
        <v>50</v>
      </c>
      <c r="E38">
        <v>550</v>
      </c>
      <c r="F38">
        <v>5</v>
      </c>
      <c r="G38" s="28">
        <f t="shared" si="0"/>
        <v>0.39370078740157483</v>
      </c>
      <c r="L38">
        <v>6</v>
      </c>
      <c r="M38">
        <v>2621</v>
      </c>
      <c r="N38" s="4">
        <f>M38*0.82</f>
        <v>2149.2199999999998</v>
      </c>
      <c r="O38" s="4">
        <f t="shared" si="1"/>
        <v>471.7800000000002</v>
      </c>
    </row>
    <row r="39" spans="1:15" x14ac:dyDescent="0.25">
      <c r="L39">
        <v>6</v>
      </c>
      <c r="M39">
        <v>3902</v>
      </c>
      <c r="N39" s="4">
        <f>M39*0.82</f>
        <v>3199.64</v>
      </c>
      <c r="O39" s="4">
        <f t="shared" si="1"/>
        <v>702.36000000000013</v>
      </c>
    </row>
    <row r="40" spans="1:15" x14ac:dyDescent="0.25">
      <c r="L40">
        <v>6</v>
      </c>
      <c r="M40">
        <v>3310</v>
      </c>
      <c r="N40" s="4">
        <f>M40*0.82</f>
        <v>2714.2</v>
      </c>
      <c r="O40" s="4">
        <f t="shared" si="1"/>
        <v>595.80000000000018</v>
      </c>
    </row>
    <row r="41" spans="1:15" x14ac:dyDescent="0.25">
      <c r="L41">
        <v>12</v>
      </c>
      <c r="M41">
        <v>3850</v>
      </c>
      <c r="N41" s="4">
        <f>M41*0.72</f>
        <v>2772</v>
      </c>
      <c r="O41" s="4">
        <f t="shared" si="1"/>
        <v>1078</v>
      </c>
    </row>
    <row r="42" spans="1:15" x14ac:dyDescent="0.25">
      <c r="L42">
        <v>12</v>
      </c>
      <c r="M42">
        <v>4738</v>
      </c>
      <c r="N42" s="4">
        <f>M42*0.72</f>
        <v>3411.3599999999997</v>
      </c>
      <c r="O42" s="4">
        <f t="shared" si="1"/>
        <v>1326.6400000000003</v>
      </c>
    </row>
    <row r="43" spans="1:15" x14ac:dyDescent="0.25">
      <c r="L43">
        <v>12</v>
      </c>
      <c r="M43">
        <v>4490</v>
      </c>
      <c r="N43" s="4">
        <f>M43*0.72</f>
        <v>3232.7999999999997</v>
      </c>
      <c r="O43" s="4">
        <f t="shared" si="1"/>
        <v>1257.2000000000003</v>
      </c>
    </row>
    <row r="44" spans="1:15" x14ac:dyDescent="0.25">
      <c r="L44">
        <v>16</v>
      </c>
      <c r="M44">
        <v>5957</v>
      </c>
      <c r="N44" s="4">
        <f>M44*0.61</f>
        <v>3633.77</v>
      </c>
      <c r="O44" s="4">
        <f t="shared" si="1"/>
        <v>2323.23</v>
      </c>
    </row>
    <row r="45" spans="1:15" x14ac:dyDescent="0.25">
      <c r="L45">
        <v>16</v>
      </c>
      <c r="M45">
        <v>4902</v>
      </c>
      <c r="N45" s="4">
        <f>M45*0.61</f>
        <v>2990.22</v>
      </c>
      <c r="O45" s="4">
        <f t="shared" si="1"/>
        <v>1911.7800000000002</v>
      </c>
    </row>
    <row r="46" spans="1:15" x14ac:dyDescent="0.25">
      <c r="L46">
        <v>16</v>
      </c>
      <c r="M46">
        <v>6036</v>
      </c>
      <c r="N46" s="4">
        <f>M46*0.61</f>
        <v>3681.96</v>
      </c>
      <c r="O46" s="4">
        <f t="shared" si="1"/>
        <v>2354.04</v>
      </c>
    </row>
    <row r="47" spans="1:15" x14ac:dyDescent="0.25">
      <c r="L47">
        <v>24</v>
      </c>
      <c r="M47">
        <v>7094</v>
      </c>
      <c r="N47" s="4">
        <f>M47*0.55</f>
        <v>3901.7000000000003</v>
      </c>
      <c r="O47" s="4">
        <f t="shared" si="1"/>
        <v>3192.2999999999997</v>
      </c>
    </row>
    <row r="48" spans="1:15" x14ac:dyDescent="0.25">
      <c r="L48">
        <v>24</v>
      </c>
      <c r="M48">
        <v>8500</v>
      </c>
      <c r="N48" s="4">
        <f>M48*0.55</f>
        <v>4675</v>
      </c>
      <c r="O48" s="4">
        <f t="shared" si="1"/>
        <v>3825</v>
      </c>
    </row>
    <row r="49" spans="12:15" x14ac:dyDescent="0.25">
      <c r="L49">
        <v>24</v>
      </c>
      <c r="M49">
        <v>9102</v>
      </c>
      <c r="N49" s="4">
        <f>M49*0.55</f>
        <v>5006.1000000000004</v>
      </c>
      <c r="O49" s="4">
        <f t="shared" si="1"/>
        <v>4095.8999999999996</v>
      </c>
    </row>
    <row r="50" spans="12:15" x14ac:dyDescent="0.25">
      <c r="L50">
        <v>36</v>
      </c>
      <c r="M50">
        <v>11477</v>
      </c>
      <c r="N50" s="4">
        <f>M50*0.39</f>
        <v>4476.03</v>
      </c>
      <c r="O50" s="4">
        <f t="shared" si="1"/>
        <v>7000.97</v>
      </c>
    </row>
    <row r="51" spans="12:15" x14ac:dyDescent="0.25">
      <c r="L51">
        <v>36</v>
      </c>
      <c r="M51">
        <v>9402</v>
      </c>
      <c r="N51" s="4">
        <f>M51*0.39</f>
        <v>3666.78</v>
      </c>
      <c r="O51" s="4">
        <f t="shared" si="1"/>
        <v>5735.2199999999993</v>
      </c>
    </row>
    <row r="52" spans="12:15" x14ac:dyDescent="0.25">
      <c r="L52">
        <v>36</v>
      </c>
      <c r="M52">
        <v>14545</v>
      </c>
      <c r="N52" s="4">
        <f>M52*0.39</f>
        <v>5672.55</v>
      </c>
      <c r="O52" s="4">
        <f t="shared" si="1"/>
        <v>8872.4500000000007</v>
      </c>
    </row>
  </sheetData>
  <pageMargins left="0.75" right="0.75" top="1" bottom="1" header="0.5" footer="0.5"/>
  <pageSetup orientation="portrait" horizontalDpi="4294967292" verticalDpi="4294967292"/>
  <colBreaks count="1" manualBreakCount="1">
    <brk id="4" max="1048575" man="1"/>
  </colBreak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45"/>
  <sheetViews>
    <sheetView topLeftCell="A3" workbookViewId="0">
      <selection activeCell="C27" sqref="C27"/>
    </sheetView>
  </sheetViews>
  <sheetFormatPr defaultColWidth="11" defaultRowHeight="15.75" x14ac:dyDescent="0.25"/>
  <cols>
    <col min="2" max="2" width="23.625" customWidth="1"/>
    <col min="6" max="6" width="12.5" customWidth="1"/>
  </cols>
  <sheetData>
    <row r="1" spans="1:10" x14ac:dyDescent="0.25">
      <c r="C1" t="s">
        <v>102</v>
      </c>
      <c r="D1">
        <v>21</v>
      </c>
    </row>
    <row r="3" spans="1:10" x14ac:dyDescent="0.25">
      <c r="A3" t="s">
        <v>75</v>
      </c>
      <c r="B3" t="s">
        <v>129</v>
      </c>
      <c r="C3" t="s">
        <v>130</v>
      </c>
      <c r="D3" t="s">
        <v>131</v>
      </c>
      <c r="E3" t="s">
        <v>132</v>
      </c>
      <c r="F3" t="s">
        <v>133</v>
      </c>
      <c r="H3" t="s">
        <v>134</v>
      </c>
    </row>
    <row r="4" spans="1:10" x14ac:dyDescent="0.25">
      <c r="A4" t="s">
        <v>136</v>
      </c>
      <c r="B4">
        <v>1</v>
      </c>
      <c r="C4">
        <f>B4/10</f>
        <v>0.1</v>
      </c>
      <c r="D4" s="4">
        <f>(C4*391*1000)/(2220000*10.9)</f>
        <v>1.6158360195057443E-3</v>
      </c>
      <c r="E4" s="4"/>
      <c r="J4" s="19"/>
    </row>
    <row r="5" spans="1:10" x14ac:dyDescent="0.25">
      <c r="A5" t="s">
        <v>137</v>
      </c>
      <c r="B5">
        <v>84</v>
      </c>
      <c r="C5">
        <f>B5/2000</f>
        <v>4.2000000000000003E-2</v>
      </c>
      <c r="D5" s="2">
        <f>(C5*391*1000)/(2220000*10.9)</f>
        <v>6.7865112819241258E-4</v>
      </c>
      <c r="E5" s="4">
        <f>D5*1000*1000</f>
        <v>678.65112819241256</v>
      </c>
    </row>
    <row r="6" spans="1:10" x14ac:dyDescent="0.25">
      <c r="A6" t="s">
        <v>138</v>
      </c>
      <c r="B6">
        <v>64</v>
      </c>
      <c r="C6">
        <f t="shared" ref="C6:C31" si="0">B6/2000</f>
        <v>3.2000000000000001E-2</v>
      </c>
      <c r="D6" s="2">
        <f t="shared" ref="D6:D31" si="1">(C6*391*1000)/(2220000*10.9)</f>
        <v>5.1706752624183815E-4</v>
      </c>
      <c r="E6" s="4">
        <f t="shared" ref="E6:E31" si="2">D6*1000*1000</f>
        <v>517.06752624183821</v>
      </c>
    </row>
    <row r="7" spans="1:10" x14ac:dyDescent="0.25">
      <c r="A7" t="s">
        <v>139</v>
      </c>
      <c r="B7">
        <v>59</v>
      </c>
      <c r="C7">
        <f t="shared" si="0"/>
        <v>2.9499999999999998E-2</v>
      </c>
      <c r="D7" s="2">
        <f t="shared" si="1"/>
        <v>4.7667162575419457E-4</v>
      </c>
      <c r="E7" s="4">
        <f t="shared" si="2"/>
        <v>476.67162575419457</v>
      </c>
    </row>
    <row r="8" spans="1:10" x14ac:dyDescent="0.25">
      <c r="A8" t="s">
        <v>181</v>
      </c>
      <c r="B8">
        <v>62</v>
      </c>
      <c r="C8">
        <f t="shared" si="0"/>
        <v>3.1E-2</v>
      </c>
      <c r="D8" s="2">
        <f t="shared" si="1"/>
        <v>5.0090916604678072E-4</v>
      </c>
      <c r="E8" s="4">
        <f t="shared" si="2"/>
        <v>500.90916604678068</v>
      </c>
    </row>
    <row r="9" spans="1:10" x14ac:dyDescent="0.25">
      <c r="A9" t="s">
        <v>140</v>
      </c>
      <c r="B9">
        <v>76</v>
      </c>
      <c r="C9">
        <f t="shared" si="0"/>
        <v>3.7999999999999999E-2</v>
      </c>
      <c r="D9" s="2">
        <f t="shared" si="1"/>
        <v>6.1401768741218274E-4</v>
      </c>
      <c r="E9" s="4">
        <f t="shared" si="2"/>
        <v>614.0176874121828</v>
      </c>
    </row>
    <row r="10" spans="1:10" x14ac:dyDescent="0.25">
      <c r="A10" t="s">
        <v>141</v>
      </c>
      <c r="B10">
        <v>62</v>
      </c>
      <c r="C10">
        <f t="shared" si="0"/>
        <v>3.1E-2</v>
      </c>
      <c r="D10" s="2">
        <f t="shared" si="1"/>
        <v>5.0090916604678072E-4</v>
      </c>
      <c r="E10" s="4">
        <f t="shared" si="2"/>
        <v>500.90916604678068</v>
      </c>
    </row>
    <row r="11" spans="1:10" x14ac:dyDescent="0.25">
      <c r="A11" t="s">
        <v>143</v>
      </c>
      <c r="B11">
        <v>73</v>
      </c>
      <c r="C11">
        <f t="shared" si="0"/>
        <v>3.6499999999999998E-2</v>
      </c>
      <c r="D11" s="2">
        <f t="shared" si="1"/>
        <v>5.8978014711959671E-4</v>
      </c>
      <c r="E11" s="4">
        <f t="shared" si="2"/>
        <v>589.78014711959668</v>
      </c>
      <c r="F11" s="4">
        <f>AVERAGE(E11:E13)</f>
        <v>492.82998594925203</v>
      </c>
      <c r="G11" s="27">
        <f>STDEV(E11:E13)/F11</f>
        <v>0.17349188925013645</v>
      </c>
      <c r="H11" s="13">
        <f>E11/1000</f>
        <v>0.5897801471195967</v>
      </c>
      <c r="I11">
        <v>3</v>
      </c>
    </row>
    <row r="12" spans="1:10" x14ac:dyDescent="0.25">
      <c r="A12" t="s">
        <v>144</v>
      </c>
      <c r="B12">
        <v>57</v>
      </c>
      <c r="C12">
        <f t="shared" si="0"/>
        <v>2.8500000000000001E-2</v>
      </c>
      <c r="D12" s="2">
        <f t="shared" si="1"/>
        <v>4.6051326555913714E-4</v>
      </c>
      <c r="E12" s="4">
        <f t="shared" si="2"/>
        <v>460.51326555913715</v>
      </c>
      <c r="H12" s="13">
        <f t="shared" ref="H12:H28" si="3">E12/1000</f>
        <v>0.46051326555913713</v>
      </c>
      <c r="I12">
        <v>3</v>
      </c>
    </row>
    <row r="13" spans="1:10" x14ac:dyDescent="0.25">
      <c r="A13" t="s">
        <v>145</v>
      </c>
      <c r="B13">
        <v>53</v>
      </c>
      <c r="C13">
        <f t="shared" si="0"/>
        <v>2.6499999999999999E-2</v>
      </c>
      <c r="D13" s="2">
        <f t="shared" si="1"/>
        <v>4.2819654516902222E-4</v>
      </c>
      <c r="E13" s="4">
        <f t="shared" si="2"/>
        <v>428.19654516902222</v>
      </c>
      <c r="H13" s="13">
        <f t="shared" si="3"/>
        <v>0.42819654516902222</v>
      </c>
      <c r="I13">
        <v>3</v>
      </c>
    </row>
    <row r="14" spans="1:10" x14ac:dyDescent="0.25">
      <c r="A14" t="s">
        <v>146</v>
      </c>
      <c r="B14">
        <v>57</v>
      </c>
      <c r="C14">
        <f t="shared" si="0"/>
        <v>2.8500000000000001E-2</v>
      </c>
      <c r="D14" s="2">
        <f t="shared" si="1"/>
        <v>4.6051326555913714E-4</v>
      </c>
      <c r="E14" s="4">
        <f t="shared" si="2"/>
        <v>460.51326555913715</v>
      </c>
      <c r="F14" s="4">
        <f>AVERAGE(E14:E16)</f>
        <v>503.60222607929035</v>
      </c>
      <c r="G14" s="27">
        <f>STDEV(E14:E16)/F14</f>
        <v>0.14819686054065268</v>
      </c>
      <c r="H14" s="13">
        <f t="shared" si="3"/>
        <v>0.46051326555913713</v>
      </c>
      <c r="I14">
        <v>6</v>
      </c>
    </row>
    <row r="15" spans="1:10" x14ac:dyDescent="0.25">
      <c r="A15" t="s">
        <v>147</v>
      </c>
      <c r="B15">
        <v>57</v>
      </c>
      <c r="C15">
        <f t="shared" si="0"/>
        <v>2.8500000000000001E-2</v>
      </c>
      <c r="D15" s="2">
        <f t="shared" si="1"/>
        <v>4.6051326555913714E-4</v>
      </c>
      <c r="E15" s="4">
        <f t="shared" si="2"/>
        <v>460.51326555913715</v>
      </c>
      <c r="H15" s="13">
        <f t="shared" si="3"/>
        <v>0.46051326555913713</v>
      </c>
      <c r="I15">
        <v>6</v>
      </c>
    </row>
    <row r="16" spans="1:10" x14ac:dyDescent="0.25">
      <c r="A16" t="s">
        <v>148</v>
      </c>
      <c r="B16">
        <v>73</v>
      </c>
      <c r="C16">
        <f t="shared" si="0"/>
        <v>3.6499999999999998E-2</v>
      </c>
      <c r="D16" s="2">
        <f t="shared" si="1"/>
        <v>5.8978014711959671E-4</v>
      </c>
      <c r="E16" s="4">
        <f t="shared" si="2"/>
        <v>589.78014711959668</v>
      </c>
      <c r="H16" s="13">
        <f t="shared" si="3"/>
        <v>0.5897801471195967</v>
      </c>
      <c r="I16">
        <v>6</v>
      </c>
    </row>
    <row r="17" spans="1:9" x14ac:dyDescent="0.25">
      <c r="A17" t="s">
        <v>149</v>
      </c>
      <c r="B17">
        <v>44</v>
      </c>
      <c r="C17">
        <f t="shared" si="0"/>
        <v>2.1999999999999999E-2</v>
      </c>
      <c r="D17" s="2">
        <f t="shared" si="1"/>
        <v>3.5548392429126372E-4</v>
      </c>
      <c r="E17" s="4">
        <f t="shared" si="2"/>
        <v>355.48392429126375</v>
      </c>
      <c r="F17" s="4">
        <f>AVERAGE(E17:E19)</f>
        <v>438.96878529906053</v>
      </c>
      <c r="G17" s="27">
        <f>STDEV(E17:E19)/F17</f>
        <v>0.16496110011961732</v>
      </c>
      <c r="H17" s="13">
        <f t="shared" si="3"/>
        <v>0.35548392429126374</v>
      </c>
      <c r="I17">
        <v>12</v>
      </c>
    </row>
    <row r="18" spans="1:9" x14ac:dyDescent="0.25">
      <c r="A18" t="s">
        <v>150</v>
      </c>
      <c r="B18">
        <v>59</v>
      </c>
      <c r="C18">
        <f t="shared" si="0"/>
        <v>2.9499999999999998E-2</v>
      </c>
      <c r="D18" s="2">
        <f t="shared" si="1"/>
        <v>4.7667162575419457E-4</v>
      </c>
      <c r="E18" s="4">
        <f t="shared" si="2"/>
        <v>476.67162575419457</v>
      </c>
      <c r="H18" s="13">
        <f t="shared" si="3"/>
        <v>0.47667162575419458</v>
      </c>
      <c r="I18">
        <v>12</v>
      </c>
    </row>
    <row r="19" spans="1:9" x14ac:dyDescent="0.25">
      <c r="A19" t="s">
        <v>151</v>
      </c>
      <c r="B19">
        <v>60</v>
      </c>
      <c r="C19">
        <f t="shared" si="0"/>
        <v>0.03</v>
      </c>
      <c r="D19" s="2">
        <f t="shared" si="1"/>
        <v>4.8475080585172329E-4</v>
      </c>
      <c r="E19" s="4">
        <f t="shared" si="2"/>
        <v>484.75080585172333</v>
      </c>
      <c r="H19" s="13">
        <f t="shared" si="3"/>
        <v>0.48475080585172331</v>
      </c>
      <c r="I19">
        <v>12</v>
      </c>
    </row>
    <row r="20" spans="1:9" x14ac:dyDescent="0.25">
      <c r="A20" t="s">
        <v>182</v>
      </c>
      <c r="B20">
        <v>47</v>
      </c>
      <c r="C20">
        <f t="shared" si="0"/>
        <v>2.35E-2</v>
      </c>
      <c r="D20" s="2">
        <f t="shared" si="1"/>
        <v>3.7972146458384993E-4</v>
      </c>
      <c r="E20" s="4">
        <f t="shared" si="2"/>
        <v>379.72146458384992</v>
      </c>
      <c r="F20" s="4">
        <f>AVERAGE(E20:E22)</f>
        <v>455.12714549411794</v>
      </c>
      <c r="G20" s="27">
        <f>STDEV(E20:E22)/F20</f>
        <v>0.14457741683870604</v>
      </c>
      <c r="H20" s="13">
        <f t="shared" si="3"/>
        <v>0.37972146458384992</v>
      </c>
      <c r="I20">
        <v>16</v>
      </c>
    </row>
    <row r="21" spans="1:9" x14ac:dyDescent="0.25">
      <c r="A21" t="s">
        <v>183</v>
      </c>
      <c r="B21">
        <v>60</v>
      </c>
      <c r="C21">
        <f t="shared" si="0"/>
        <v>0.03</v>
      </c>
      <c r="D21" s="2">
        <f t="shared" si="1"/>
        <v>4.8475080585172329E-4</v>
      </c>
      <c r="E21" s="4">
        <f t="shared" si="2"/>
        <v>484.75080585172333</v>
      </c>
      <c r="H21" s="13">
        <f t="shared" si="3"/>
        <v>0.48475080585172331</v>
      </c>
      <c r="I21">
        <v>16</v>
      </c>
    </row>
    <row r="22" spans="1:9" x14ac:dyDescent="0.25">
      <c r="A22" t="s">
        <v>184</v>
      </c>
      <c r="B22">
        <v>62</v>
      </c>
      <c r="C22">
        <f t="shared" si="0"/>
        <v>3.1E-2</v>
      </c>
      <c r="D22" s="2">
        <f t="shared" si="1"/>
        <v>5.0090916604678072E-4</v>
      </c>
      <c r="E22" s="4">
        <f t="shared" si="2"/>
        <v>500.90916604678068</v>
      </c>
      <c r="H22" s="13">
        <f t="shared" si="3"/>
        <v>0.50090916604678071</v>
      </c>
      <c r="I22">
        <v>16</v>
      </c>
    </row>
    <row r="23" spans="1:9" x14ac:dyDescent="0.25">
      <c r="A23" t="s">
        <v>152</v>
      </c>
      <c r="B23">
        <v>53</v>
      </c>
      <c r="C23">
        <f t="shared" si="0"/>
        <v>2.6499999999999999E-2</v>
      </c>
      <c r="D23" s="2">
        <f t="shared" si="1"/>
        <v>4.2819654516902222E-4</v>
      </c>
      <c r="E23" s="4">
        <f t="shared" si="2"/>
        <v>428.19654516902222</v>
      </c>
      <c r="F23" s="4">
        <f>AVERAGE(E23:E25)</f>
        <v>622.0968675097115</v>
      </c>
      <c r="G23" s="27">
        <f>STDEV(E23:E25)/F23</f>
        <v>0.44251233863378758</v>
      </c>
      <c r="H23" s="13">
        <f t="shared" si="3"/>
        <v>0.42819654516902222</v>
      </c>
      <c r="I23">
        <v>24</v>
      </c>
    </row>
    <row r="24" spans="1:9" x14ac:dyDescent="0.25">
      <c r="A24" t="s">
        <v>153</v>
      </c>
      <c r="B24">
        <v>116</v>
      </c>
      <c r="C24">
        <f t="shared" si="0"/>
        <v>5.8000000000000003E-2</v>
      </c>
      <c r="D24" s="2">
        <f t="shared" si="1"/>
        <v>9.3718489131333171E-4</v>
      </c>
      <c r="E24" s="4">
        <f t="shared" si="2"/>
        <v>937.18489131333172</v>
      </c>
      <c r="H24" s="13">
        <f t="shared" si="3"/>
        <v>0.93718489131333171</v>
      </c>
      <c r="I24">
        <v>24</v>
      </c>
    </row>
    <row r="25" spans="1:9" x14ac:dyDescent="0.25">
      <c r="A25" t="s">
        <v>154</v>
      </c>
      <c r="B25">
        <v>62</v>
      </c>
      <c r="C25">
        <f t="shared" si="0"/>
        <v>3.1E-2</v>
      </c>
      <c r="D25" s="2">
        <f t="shared" si="1"/>
        <v>5.0090916604678072E-4</v>
      </c>
      <c r="E25" s="4">
        <f t="shared" si="2"/>
        <v>500.90916604678068</v>
      </c>
      <c r="H25" s="13">
        <f t="shared" si="3"/>
        <v>0.50090916604678071</v>
      </c>
      <c r="I25">
        <v>24</v>
      </c>
    </row>
    <row r="26" spans="1:9" x14ac:dyDescent="0.25">
      <c r="A26" t="s">
        <v>155</v>
      </c>
      <c r="B26">
        <v>51</v>
      </c>
      <c r="C26">
        <f t="shared" si="0"/>
        <v>2.5499999999999998E-2</v>
      </c>
      <c r="D26" s="2">
        <f t="shared" si="1"/>
        <v>4.1203818497396479E-4</v>
      </c>
      <c r="E26" s="4">
        <f t="shared" si="2"/>
        <v>412.03818497396475</v>
      </c>
      <c r="F26" s="4">
        <f>AVERAGE(E26:E28)</f>
        <v>438.96878529906053</v>
      </c>
      <c r="G26" s="27">
        <f>STDEV(E26:E28)/F26</f>
        <v>0.10626078574042194</v>
      </c>
      <c r="H26" s="13">
        <f t="shared" si="3"/>
        <v>0.41203818497396477</v>
      </c>
      <c r="I26">
        <v>36</v>
      </c>
    </row>
    <row r="27" spans="1:9" x14ac:dyDescent="0.25">
      <c r="A27" t="s">
        <v>156</v>
      </c>
      <c r="B27">
        <v>51</v>
      </c>
      <c r="C27">
        <f t="shared" si="0"/>
        <v>2.5499999999999998E-2</v>
      </c>
      <c r="D27" s="2">
        <f t="shared" si="1"/>
        <v>4.1203818497396479E-4</v>
      </c>
      <c r="E27" s="4">
        <f t="shared" si="2"/>
        <v>412.03818497396475</v>
      </c>
      <c r="H27" s="13">
        <f t="shared" si="3"/>
        <v>0.41203818497396477</v>
      </c>
      <c r="I27">
        <v>36</v>
      </c>
    </row>
    <row r="28" spans="1:9" x14ac:dyDescent="0.25">
      <c r="A28" t="s">
        <v>157</v>
      </c>
      <c r="B28">
        <v>61</v>
      </c>
      <c r="C28">
        <f t="shared" si="0"/>
        <v>3.0499999999999999E-2</v>
      </c>
      <c r="D28" s="2">
        <f t="shared" si="1"/>
        <v>4.92829985949252E-4</v>
      </c>
      <c r="E28" s="4">
        <f t="shared" si="2"/>
        <v>492.82998594925198</v>
      </c>
      <c r="H28" s="13">
        <f t="shared" si="3"/>
        <v>0.49282998594925198</v>
      </c>
      <c r="I28">
        <v>36</v>
      </c>
    </row>
    <row r="29" spans="1:9" x14ac:dyDescent="0.25">
      <c r="A29" t="s">
        <v>99</v>
      </c>
      <c r="B29">
        <v>0</v>
      </c>
      <c r="C29">
        <f t="shared" si="0"/>
        <v>0</v>
      </c>
      <c r="D29" s="2">
        <f t="shared" si="1"/>
        <v>0</v>
      </c>
      <c r="E29" s="4">
        <f t="shared" si="2"/>
        <v>0</v>
      </c>
      <c r="F29" s="4">
        <f>AVERAGE(E29:E31)</f>
        <v>5.3861200650191483</v>
      </c>
    </row>
    <row r="30" spans="1:9" x14ac:dyDescent="0.25">
      <c r="A30" t="s">
        <v>100</v>
      </c>
      <c r="B30">
        <v>1</v>
      </c>
      <c r="C30">
        <f t="shared" si="0"/>
        <v>5.0000000000000001E-4</v>
      </c>
      <c r="D30" s="2">
        <f t="shared" si="1"/>
        <v>8.0791800975287211E-6</v>
      </c>
      <c r="E30" s="4">
        <f t="shared" si="2"/>
        <v>8.079180097528722</v>
      </c>
    </row>
    <row r="31" spans="1:9" x14ac:dyDescent="0.25">
      <c r="A31" t="s">
        <v>101</v>
      </c>
      <c r="B31">
        <v>1</v>
      </c>
      <c r="C31">
        <f t="shared" si="0"/>
        <v>5.0000000000000001E-4</v>
      </c>
      <c r="D31" s="2">
        <f t="shared" si="1"/>
        <v>8.0791800975287211E-6</v>
      </c>
      <c r="E31" s="4">
        <f t="shared" si="2"/>
        <v>8.079180097528722</v>
      </c>
    </row>
    <row r="32" spans="1:9" x14ac:dyDescent="0.25">
      <c r="D32" s="2"/>
      <c r="E32" s="4"/>
    </row>
    <row r="33" spans="1:5" x14ac:dyDescent="0.25">
      <c r="D33" s="2"/>
      <c r="E33" s="4"/>
    </row>
    <row r="34" spans="1:5" x14ac:dyDescent="0.25">
      <c r="A34" s="14" t="s">
        <v>164</v>
      </c>
      <c r="B34" s="14">
        <f t="array" ref="B34:C38">LINEST(E11:E28,I11:I28,TRUE,TRUE)</f>
        <v>8.7510964777741396E-2</v>
      </c>
      <c r="C34" s="15">
        <v>490.51753867450873</v>
      </c>
      <c r="D34" s="16" t="s">
        <v>165</v>
      </c>
      <c r="E34" s="17"/>
    </row>
    <row r="35" spans="1:5" x14ac:dyDescent="0.25">
      <c r="A35" s="14" t="s">
        <v>166</v>
      </c>
      <c r="B35" s="14">
        <v>2.7556298141786364</v>
      </c>
      <c r="C35" s="15">
        <v>54.151222629864456</v>
      </c>
      <c r="D35" s="16" t="s">
        <v>166</v>
      </c>
      <c r="E35" s="17"/>
    </row>
    <row r="36" spans="1:5" x14ac:dyDescent="0.25">
      <c r="A36" s="14" t="s">
        <v>167</v>
      </c>
      <c r="B36" s="14">
        <v>6.3028335405896586E-5</v>
      </c>
      <c r="C36" s="15">
        <v>130.60929533889671</v>
      </c>
      <c r="D36" s="16" t="s">
        <v>168</v>
      </c>
      <c r="E36" s="17"/>
    </row>
    <row r="37" spans="1:5" x14ac:dyDescent="0.25">
      <c r="A37" s="14" t="s">
        <v>169</v>
      </c>
      <c r="B37" s="14">
        <v>1.0085169316377751E-3</v>
      </c>
      <c r="C37" s="15">
        <v>16</v>
      </c>
      <c r="D37" s="16" t="s">
        <v>170</v>
      </c>
      <c r="E37" s="17"/>
    </row>
    <row r="38" spans="1:5" x14ac:dyDescent="0.25">
      <c r="A38" s="14" t="s">
        <v>171</v>
      </c>
      <c r="B38" s="14">
        <v>17.204076560388785</v>
      </c>
      <c r="C38" s="15">
        <v>272940.60846277041</v>
      </c>
      <c r="D38" s="16" t="s">
        <v>172</v>
      </c>
      <c r="E38" s="17"/>
    </row>
    <row r="39" spans="1:5" x14ac:dyDescent="0.25">
      <c r="D39" s="2"/>
      <c r="E39" s="4"/>
    </row>
    <row r="40" spans="1:5" x14ac:dyDescent="0.25">
      <c r="D40" s="2"/>
      <c r="E40" s="4"/>
    </row>
    <row r="41" spans="1:5" x14ac:dyDescent="0.25">
      <c r="A41" s="14" t="s">
        <v>173</v>
      </c>
      <c r="B41" s="14">
        <f>B34/B35</f>
        <v>3.1757155597413059E-2</v>
      </c>
      <c r="D41" s="2"/>
      <c r="E41" s="4"/>
    </row>
    <row r="42" spans="1:5" x14ac:dyDescent="0.25">
      <c r="A42" s="14" t="s">
        <v>174</v>
      </c>
      <c r="B42" s="14">
        <f>TDIST(ABS(B41),C37,2)</f>
        <v>0.97505849531977806</v>
      </c>
      <c r="C42" t="s">
        <v>175</v>
      </c>
      <c r="D42" s="2"/>
      <c r="E42" s="4"/>
    </row>
    <row r="43" spans="1:5" x14ac:dyDescent="0.25">
      <c r="D43" s="2"/>
      <c r="E43" s="4"/>
    </row>
    <row r="44" spans="1:5" x14ac:dyDescent="0.25">
      <c r="D44" s="2"/>
      <c r="E44" s="4"/>
    </row>
    <row r="45" spans="1:5" x14ac:dyDescent="0.25">
      <c r="D45" s="2"/>
      <c r="E45" s="4"/>
    </row>
  </sheetData>
  <pageMargins left="0.75" right="0.75" top="1" bottom="1" header="0.5" footer="0.5"/>
  <pageSetup orientation="portrait" horizontalDpi="4294967292" verticalDpi="4294967292"/>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F24"/>
  <sheetViews>
    <sheetView workbookViewId="0">
      <selection activeCell="C27" sqref="C27"/>
    </sheetView>
  </sheetViews>
  <sheetFormatPr defaultColWidth="11" defaultRowHeight="15.75" x14ac:dyDescent="0.25"/>
  <cols>
    <col min="1" max="1" width="11" customWidth="1"/>
    <col min="2" max="2" width="16.625" customWidth="1"/>
    <col min="3" max="3" width="20.125" customWidth="1"/>
    <col min="4" max="4" width="17.375" customWidth="1"/>
    <col min="6" max="6" width="21.375" customWidth="1"/>
  </cols>
  <sheetData>
    <row r="1" spans="1:6" x14ac:dyDescent="0.25">
      <c r="A1" s="1" t="s">
        <v>202</v>
      </c>
    </row>
    <row r="3" spans="1:6" x14ac:dyDescent="0.25">
      <c r="A3" t="s">
        <v>75</v>
      </c>
      <c r="B3" t="s">
        <v>76</v>
      </c>
      <c r="C3" t="s">
        <v>77</v>
      </c>
      <c r="D3" t="s">
        <v>78</v>
      </c>
      <c r="E3" t="s">
        <v>79</v>
      </c>
      <c r="F3" t="s">
        <v>80</v>
      </c>
    </row>
    <row r="4" spans="1:6" x14ac:dyDescent="0.25">
      <c r="A4" t="s">
        <v>81</v>
      </c>
      <c r="B4">
        <v>3.313E-2</v>
      </c>
      <c r="C4">
        <v>3.4459999999999998E-2</v>
      </c>
      <c r="D4">
        <f>C4-B4</f>
        <v>1.3299999999999979E-3</v>
      </c>
      <c r="E4">
        <v>15</v>
      </c>
      <c r="F4" s="2">
        <f>D4/E4</f>
        <v>8.8666666666666527E-5</v>
      </c>
    </row>
    <row r="5" spans="1:6" x14ac:dyDescent="0.25">
      <c r="A5" t="s">
        <v>82</v>
      </c>
      <c r="B5">
        <v>3.4090000000000002E-2</v>
      </c>
      <c r="C5">
        <v>3.5869999999999999E-2</v>
      </c>
      <c r="D5">
        <f t="shared" ref="D5:D24" si="0">C5-B5</f>
        <v>1.7799999999999969E-3</v>
      </c>
      <c r="E5">
        <v>15</v>
      </c>
      <c r="F5" s="2">
        <f t="shared" ref="F5:F24" si="1">D5/E5</f>
        <v>1.1866666666666646E-4</v>
      </c>
    </row>
    <row r="6" spans="1:6" x14ac:dyDescent="0.25">
      <c r="A6" t="s">
        <v>83</v>
      </c>
      <c r="B6">
        <v>4.1739999999999999E-2</v>
      </c>
      <c r="C6">
        <v>4.3040000000000002E-2</v>
      </c>
      <c r="D6">
        <f t="shared" si="0"/>
        <v>1.3000000000000025E-3</v>
      </c>
      <c r="E6">
        <v>15</v>
      </c>
      <c r="F6" s="2">
        <f t="shared" si="1"/>
        <v>8.6666666666666831E-5</v>
      </c>
    </row>
    <row r="7" spans="1:6" x14ac:dyDescent="0.25">
      <c r="A7" t="s">
        <v>84</v>
      </c>
      <c r="B7">
        <v>3.4130000000000001E-2</v>
      </c>
      <c r="C7">
        <v>3.5479999999999998E-2</v>
      </c>
      <c r="D7">
        <f t="shared" si="0"/>
        <v>1.349999999999997E-3</v>
      </c>
      <c r="E7">
        <v>15</v>
      </c>
      <c r="F7" s="2">
        <f t="shared" si="1"/>
        <v>8.9999999999999802E-5</v>
      </c>
    </row>
    <row r="8" spans="1:6" x14ac:dyDescent="0.25">
      <c r="A8" t="s">
        <v>85</v>
      </c>
      <c r="B8">
        <v>3.8240000000000003E-2</v>
      </c>
      <c r="C8">
        <v>3.9579999999999997E-2</v>
      </c>
      <c r="D8">
        <f t="shared" si="0"/>
        <v>1.339999999999994E-3</v>
      </c>
      <c r="E8">
        <v>15</v>
      </c>
      <c r="F8" s="2">
        <f t="shared" si="1"/>
        <v>8.9333333333332934E-5</v>
      </c>
    </row>
    <row r="9" spans="1:6" x14ac:dyDescent="0.25">
      <c r="A9" t="s">
        <v>86</v>
      </c>
      <c r="B9">
        <v>3.372E-2</v>
      </c>
      <c r="C9">
        <v>3.5069999999999997E-2</v>
      </c>
      <c r="D9">
        <f t="shared" si="0"/>
        <v>1.349999999999997E-3</v>
      </c>
      <c r="E9">
        <v>13</v>
      </c>
      <c r="F9" s="2">
        <f t="shared" si="1"/>
        <v>1.0384615384615361E-4</v>
      </c>
    </row>
    <row r="10" spans="1:6" x14ac:dyDescent="0.25">
      <c r="A10" t="s">
        <v>87</v>
      </c>
      <c r="B10">
        <v>4.2979999999999997E-2</v>
      </c>
      <c r="C10">
        <v>4.4659999999999998E-2</v>
      </c>
      <c r="D10">
        <f t="shared" si="0"/>
        <v>1.6800000000000009E-3</v>
      </c>
      <c r="E10">
        <v>15</v>
      </c>
      <c r="F10" s="2">
        <f t="shared" si="1"/>
        <v>1.1200000000000007E-4</v>
      </c>
    </row>
    <row r="11" spans="1:6" x14ac:dyDescent="0.25">
      <c r="A11" t="s">
        <v>88</v>
      </c>
      <c r="B11">
        <v>3.773E-2</v>
      </c>
      <c r="C11">
        <v>3.9539999999999999E-2</v>
      </c>
      <c r="D11">
        <f t="shared" si="0"/>
        <v>1.8099999999999991E-3</v>
      </c>
      <c r="E11">
        <v>15</v>
      </c>
      <c r="F11" s="2">
        <f t="shared" si="1"/>
        <v>1.2066666666666661E-4</v>
      </c>
    </row>
    <row r="12" spans="1:6" x14ac:dyDescent="0.25">
      <c r="A12" t="s">
        <v>89</v>
      </c>
      <c r="B12">
        <v>3.4009999999999999E-2</v>
      </c>
      <c r="C12">
        <v>3.5479999999999998E-2</v>
      </c>
      <c r="D12">
        <f t="shared" si="0"/>
        <v>1.4699999999999991E-3</v>
      </c>
      <c r="E12">
        <v>15</v>
      </c>
      <c r="F12" s="2">
        <f>D12/E12</f>
        <v>9.7999999999999943E-5</v>
      </c>
    </row>
    <row r="13" spans="1:6" x14ac:dyDescent="0.25">
      <c r="A13" t="s">
        <v>177</v>
      </c>
      <c r="B13">
        <v>3.6600000000000001E-2</v>
      </c>
      <c r="C13">
        <v>3.7940000000000002E-2</v>
      </c>
      <c r="D13">
        <f t="shared" si="0"/>
        <v>1.3400000000000009E-3</v>
      </c>
      <c r="E13">
        <v>15</v>
      </c>
      <c r="F13" s="2">
        <f t="shared" si="1"/>
        <v>8.9333333333333395E-5</v>
      </c>
    </row>
    <row r="14" spans="1:6" x14ac:dyDescent="0.25">
      <c r="A14" t="s">
        <v>178</v>
      </c>
      <c r="B14">
        <v>3.5430000000000003E-2</v>
      </c>
      <c r="C14">
        <v>3.678E-2</v>
      </c>
      <c r="D14">
        <f t="shared" si="0"/>
        <v>1.349999999999997E-3</v>
      </c>
      <c r="E14">
        <v>15</v>
      </c>
      <c r="F14" s="2">
        <f t="shared" si="1"/>
        <v>8.9999999999999802E-5</v>
      </c>
    </row>
    <row r="15" spans="1:6" x14ac:dyDescent="0.25">
      <c r="A15" t="s">
        <v>179</v>
      </c>
      <c r="B15">
        <v>3.4340000000000002E-2</v>
      </c>
      <c r="C15">
        <v>3.576E-2</v>
      </c>
      <c r="D15">
        <f t="shared" si="0"/>
        <v>1.4199999999999977E-3</v>
      </c>
      <c r="E15">
        <v>15</v>
      </c>
      <c r="F15" s="2">
        <f t="shared" si="1"/>
        <v>9.466666666666651E-5</v>
      </c>
    </row>
    <row r="16" spans="1:6" x14ac:dyDescent="0.25">
      <c r="A16" t="s">
        <v>90</v>
      </c>
      <c r="B16">
        <v>3.6049999999999999E-2</v>
      </c>
      <c r="C16">
        <v>3.7510000000000002E-2</v>
      </c>
      <c r="D16">
        <f t="shared" si="0"/>
        <v>1.460000000000003E-3</v>
      </c>
      <c r="E16">
        <v>16</v>
      </c>
      <c r="F16" s="2">
        <f t="shared" si="1"/>
        <v>9.1250000000000185E-5</v>
      </c>
    </row>
    <row r="17" spans="1:6" x14ac:dyDescent="0.25">
      <c r="A17" t="s">
        <v>91</v>
      </c>
      <c r="B17">
        <v>3.338E-2</v>
      </c>
      <c r="C17">
        <v>3.474E-2</v>
      </c>
      <c r="D17">
        <f t="shared" si="0"/>
        <v>1.3600000000000001E-3</v>
      </c>
      <c r="E17">
        <v>15</v>
      </c>
      <c r="F17" s="2">
        <f t="shared" si="1"/>
        <v>9.066666666666667E-5</v>
      </c>
    </row>
    <row r="18" spans="1:6" x14ac:dyDescent="0.25">
      <c r="A18" t="s">
        <v>92</v>
      </c>
      <c r="B18">
        <v>3.4079999999999999E-2</v>
      </c>
      <c r="C18">
        <v>3.5249999999999997E-2</v>
      </c>
      <c r="D18">
        <f t="shared" si="0"/>
        <v>1.1699999999999974E-3</v>
      </c>
      <c r="E18">
        <v>15</v>
      </c>
      <c r="F18" s="2">
        <f t="shared" si="1"/>
        <v>7.7999999999999822E-5</v>
      </c>
    </row>
    <row r="19" spans="1:6" x14ac:dyDescent="0.25">
      <c r="A19" t="s">
        <v>93</v>
      </c>
      <c r="B19">
        <v>5.3150000000000003E-2</v>
      </c>
      <c r="C19">
        <v>5.423E-2</v>
      </c>
      <c r="D19">
        <f t="shared" si="0"/>
        <v>1.0799999999999976E-3</v>
      </c>
      <c r="E19">
        <v>15</v>
      </c>
      <c r="F19" s="2">
        <f t="shared" si="1"/>
        <v>7.1999999999999839E-5</v>
      </c>
    </row>
    <row r="20" spans="1:6" x14ac:dyDescent="0.25">
      <c r="A20" t="s">
        <v>94</v>
      </c>
      <c r="B20">
        <v>5.6800000000000003E-2</v>
      </c>
      <c r="C20">
        <v>5.7910000000000003E-2</v>
      </c>
      <c r="D20">
        <f t="shared" si="0"/>
        <v>1.1099999999999999E-3</v>
      </c>
      <c r="E20">
        <v>15</v>
      </c>
      <c r="F20" s="2">
        <f t="shared" si="1"/>
        <v>7.3999999999999996E-5</v>
      </c>
    </row>
    <row r="21" spans="1:6" x14ac:dyDescent="0.25">
      <c r="A21" t="s">
        <v>95</v>
      </c>
      <c r="B21">
        <v>5.9810000000000002E-2</v>
      </c>
      <c r="C21">
        <v>6.1039999999999997E-2</v>
      </c>
      <c r="D21">
        <f t="shared" si="0"/>
        <v>1.229999999999995E-3</v>
      </c>
      <c r="E21">
        <v>15</v>
      </c>
      <c r="F21" s="2">
        <f t="shared" si="1"/>
        <v>8.1999999999999662E-5</v>
      </c>
    </row>
    <row r="22" spans="1:6" x14ac:dyDescent="0.25">
      <c r="A22" t="s">
        <v>99</v>
      </c>
      <c r="B22">
        <v>6.0170000000000001E-2</v>
      </c>
      <c r="C22">
        <v>6.123E-2</v>
      </c>
      <c r="D22">
        <f t="shared" si="0"/>
        <v>1.0599999999999984E-3</v>
      </c>
      <c r="E22">
        <v>14</v>
      </c>
      <c r="F22" s="2">
        <f t="shared" si="1"/>
        <v>7.5714285714285605E-5</v>
      </c>
    </row>
    <row r="23" spans="1:6" x14ac:dyDescent="0.25">
      <c r="A23" t="s">
        <v>100</v>
      </c>
      <c r="B23">
        <v>6.132E-2</v>
      </c>
      <c r="C23">
        <v>6.234E-2</v>
      </c>
      <c r="D23">
        <f t="shared" si="0"/>
        <v>1.0200000000000001E-3</v>
      </c>
      <c r="E23">
        <v>15</v>
      </c>
      <c r="F23" s="2">
        <f t="shared" si="1"/>
        <v>6.7999999999999999E-5</v>
      </c>
    </row>
    <row r="24" spans="1:6" x14ac:dyDescent="0.25">
      <c r="A24" t="s">
        <v>101</v>
      </c>
      <c r="B24">
        <v>5.7480000000000003E-2</v>
      </c>
      <c r="C24">
        <v>5.8720000000000001E-2</v>
      </c>
      <c r="D24">
        <f t="shared" si="0"/>
        <v>1.239999999999998E-3</v>
      </c>
      <c r="E24">
        <v>15</v>
      </c>
      <c r="F24" s="2">
        <f t="shared" si="1"/>
        <v>8.266666666666653E-5</v>
      </c>
    </row>
  </sheetData>
  <pageMargins left="0.75" right="0.75" top="1" bottom="1" header="0.5" footer="0.5"/>
  <pageSetup orientation="portrait" horizontalDpi="4294967292" verticalDpi="429496729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O52"/>
  <sheetViews>
    <sheetView topLeftCell="J22" workbookViewId="0">
      <selection activeCell="C27" sqref="C27"/>
    </sheetView>
  </sheetViews>
  <sheetFormatPr defaultColWidth="11" defaultRowHeight="15.75" x14ac:dyDescent="0.25"/>
  <cols>
    <col min="1" max="1" width="13.125" customWidth="1"/>
    <col min="2" max="2" width="23.125" customWidth="1"/>
    <col min="5" max="5" width="15.875" customWidth="1"/>
    <col min="10" max="10" width="15.375" bestFit="1" customWidth="1"/>
  </cols>
  <sheetData>
    <row r="1" spans="1:10" x14ac:dyDescent="0.25">
      <c r="D1" t="s">
        <v>102</v>
      </c>
      <c r="E1">
        <v>19</v>
      </c>
    </row>
    <row r="3" spans="1:10" x14ac:dyDescent="0.25">
      <c r="A3" t="s">
        <v>75</v>
      </c>
      <c r="B3" t="s">
        <v>103</v>
      </c>
      <c r="C3" t="s">
        <v>104</v>
      </c>
      <c r="D3" t="s">
        <v>105</v>
      </c>
      <c r="E3" t="s">
        <v>106</v>
      </c>
    </row>
    <row r="4" spans="1:10" x14ac:dyDescent="0.25">
      <c r="A4" t="s">
        <v>108</v>
      </c>
      <c r="B4">
        <v>2</v>
      </c>
      <c r="D4">
        <v>0</v>
      </c>
      <c r="E4">
        <v>0</v>
      </c>
      <c r="G4">
        <v>0</v>
      </c>
    </row>
    <row r="5" spans="1:10" x14ac:dyDescent="0.25">
      <c r="A5" t="s">
        <v>109</v>
      </c>
      <c r="B5">
        <v>6</v>
      </c>
      <c r="D5">
        <v>0</v>
      </c>
      <c r="E5">
        <v>0</v>
      </c>
      <c r="G5">
        <v>0</v>
      </c>
    </row>
    <row r="6" spans="1:10" x14ac:dyDescent="0.25">
      <c r="A6" t="s">
        <v>81</v>
      </c>
      <c r="B6">
        <v>234</v>
      </c>
      <c r="C6" s="4">
        <f>(B6*391)/(2220000*10.9)*1000/'Esc Masses 6.0 23'!D4</f>
        <v>2842.8994628898104</v>
      </c>
      <c r="D6" s="5">
        <f>(B6*391)/(2220000*10.9)*1000/'Esc Masses 6.0 23'!E4</f>
        <v>0.25207041904289612</v>
      </c>
      <c r="E6" s="4">
        <f>AVERAGE(C6:C8)</f>
        <v>2748.3755601312678</v>
      </c>
      <c r="F6" s="27">
        <f>STDEV(C6:C8)/E6</f>
        <v>9.2288632211511262E-2</v>
      </c>
      <c r="G6">
        <v>3</v>
      </c>
      <c r="I6" t="s">
        <v>110</v>
      </c>
      <c r="J6" t="s">
        <v>106</v>
      </c>
    </row>
    <row r="7" spans="1:10" x14ac:dyDescent="0.25">
      <c r="A7" t="s">
        <v>82</v>
      </c>
      <c r="B7">
        <v>324</v>
      </c>
      <c r="C7" s="4">
        <f>(B7*391)/(2220000*10.9)*1000/'Esc Masses 6.0 23'!D5</f>
        <v>2941.1846647183261</v>
      </c>
      <c r="D7" s="5">
        <f>(B7*391)/(2220000*10.9)*1000/'Esc Masses 6.0 23'!E5</f>
        <v>0.34902058021324073</v>
      </c>
      <c r="G7">
        <v>3</v>
      </c>
      <c r="I7">
        <v>3</v>
      </c>
    </row>
    <row r="8" spans="1:10" x14ac:dyDescent="0.25">
      <c r="A8" t="s">
        <v>83</v>
      </c>
      <c r="B8">
        <v>198</v>
      </c>
      <c r="C8" s="4">
        <f>(B8*391)/(2220000*10.9)*1000/'Esc Masses 6.0 23'!D6</f>
        <v>2461.0425527856673</v>
      </c>
      <c r="D8" s="5">
        <f>(B8*391)/(2220000*10.9)*1000/'Esc Masses 6.0 23'!E6</f>
        <v>0.21329035457475826</v>
      </c>
      <c r="G8">
        <v>3</v>
      </c>
      <c r="I8">
        <v>6</v>
      </c>
    </row>
    <row r="9" spans="1:10" x14ac:dyDescent="0.25">
      <c r="A9" t="s">
        <v>84</v>
      </c>
      <c r="B9">
        <v>244</v>
      </c>
      <c r="C9" s="4">
        <f>(B9*391)/(2220000*10.9)*1000/'Esc Masses 6.0 23'!D7</f>
        <v>2920.4739908103884</v>
      </c>
      <c r="D9" s="5">
        <f>(B9*391)/(2220000*10.9)*1000/'Esc Masses 6.0 23'!E7</f>
        <v>0.26284265917293437</v>
      </c>
      <c r="E9" s="4">
        <f>AVERAGE(C9:C11)</f>
        <v>3583.3925272816546</v>
      </c>
      <c r="F9" s="27">
        <f>STDEV(C9:C11)/E9</f>
        <v>0.20016078015128758</v>
      </c>
      <c r="G9">
        <v>6</v>
      </c>
      <c r="I9">
        <v>12</v>
      </c>
    </row>
    <row r="10" spans="1:10" x14ac:dyDescent="0.25">
      <c r="A10" t="s">
        <v>85</v>
      </c>
      <c r="B10">
        <v>289</v>
      </c>
      <c r="C10" s="4">
        <f>(B10*391)/(2220000*10.9)*1000/'Esc Masses 6.0 23'!D8</f>
        <v>3484.9000719191213</v>
      </c>
      <c r="D10" s="5">
        <f>(B10*391)/(2220000*10.9)*1000/'Esc Masses 6.0 23'!E8</f>
        <v>0.31131773975810678</v>
      </c>
      <c r="G10">
        <v>6</v>
      </c>
      <c r="I10">
        <v>16</v>
      </c>
    </row>
    <row r="11" spans="1:10" x14ac:dyDescent="0.25">
      <c r="A11" t="s">
        <v>86</v>
      </c>
      <c r="B11">
        <v>363</v>
      </c>
      <c r="C11" s="4">
        <f>(B11*391)/(2220000*10.9)*1000/'Esc Masses 6.0 23'!D9</f>
        <v>4344.8035191154549</v>
      </c>
      <c r="D11" s="5">
        <f>(B11*391)/(2220000*10.9)*1000/'Esc Masses 6.0 23'!E9</f>
        <v>0.45119113467737321</v>
      </c>
      <c r="G11">
        <v>6</v>
      </c>
      <c r="I11">
        <v>24</v>
      </c>
    </row>
    <row r="12" spans="1:10" x14ac:dyDescent="0.25">
      <c r="A12" t="s">
        <v>87</v>
      </c>
      <c r="B12">
        <v>528</v>
      </c>
      <c r="C12" s="4">
        <f>(B12*391)/(2220000*10.9)*1000/'Esc Masses 6.0 23'!D10</f>
        <v>5078.3417755894789</v>
      </c>
      <c r="D12" s="5">
        <f>(B12*391)/(2220000*10.9)*1000/'Esc Masses 6.0 23'!E10</f>
        <v>0.56877427886602194</v>
      </c>
      <c r="E12" s="4">
        <f>AVERAGE(C12:C14)</f>
        <v>4225.6963171063517</v>
      </c>
      <c r="F12" s="27">
        <f>STDEV(C12:C14)/E12</f>
        <v>0.17529745243637163</v>
      </c>
      <c r="G12">
        <v>12</v>
      </c>
      <c r="I12">
        <v>36</v>
      </c>
    </row>
    <row r="13" spans="1:10" x14ac:dyDescent="0.25">
      <c r="A13" t="s">
        <v>88</v>
      </c>
      <c r="B13">
        <v>419</v>
      </c>
      <c r="C13" s="4">
        <f>(B13*391)/(2220000*10.9)*1000/'Esc Masses 6.0 23'!D11</f>
        <v>3740.5264760934097</v>
      </c>
      <c r="D13" s="5">
        <f>(B13*391)/(2220000*10.9)*1000/'Esc Masses 6.0 23'!E11</f>
        <v>0.45135686144860454</v>
      </c>
      <c r="G13">
        <v>12</v>
      </c>
    </row>
    <row r="14" spans="1:10" x14ac:dyDescent="0.25">
      <c r="A14" t="s">
        <v>89</v>
      </c>
      <c r="B14">
        <v>351</v>
      </c>
      <c r="C14" s="4">
        <f>(B14*391)/(2220000*10.9)*1000/'Esc Masses 6.0 23'!D12</f>
        <v>3858.220699636167</v>
      </c>
      <c r="D14" s="5">
        <f>(B14*391)/(2220000*10.9)*1000/'Esc Masses 6.0 23'!E12</f>
        <v>0.37810562856434415</v>
      </c>
      <c r="G14">
        <v>12</v>
      </c>
    </row>
    <row r="15" spans="1:10" x14ac:dyDescent="0.25">
      <c r="A15" t="s">
        <v>177</v>
      </c>
      <c r="B15">
        <v>611</v>
      </c>
      <c r="C15" s="4">
        <f>(B15*391)/(2220000*10.9)*1000/'Esc Masses 6.0 23'!D13</f>
        <v>7367.7299098358881</v>
      </c>
      <c r="D15" s="5">
        <f>(B15*391)/(2220000*10.9)*1000/'Esc Masses 6.0 23'!E13</f>
        <v>0.65818387194533978</v>
      </c>
      <c r="E15" s="4">
        <f>AVERAGE(C15:C17)</f>
        <v>7714.3590408306663</v>
      </c>
      <c r="F15" s="27">
        <f>STDEV(C15:C17)/E15</f>
        <v>4.615727625226046E-2</v>
      </c>
      <c r="G15">
        <v>16</v>
      </c>
    </row>
    <row r="16" spans="1:10" x14ac:dyDescent="0.25">
      <c r="A16" t="s">
        <v>178</v>
      </c>
      <c r="B16">
        <v>643</v>
      </c>
      <c r="C16" s="4">
        <f>(B16*391)/(2220000*10.9)*1000/'Esc Masses 6.0 23'!D14</f>
        <v>7696.1671151273758</v>
      </c>
      <c r="D16" s="5">
        <f>(B16*391)/(2220000*10.9)*1000/'Esc Masses 6.0 23'!E14</f>
        <v>0.6926550403614623</v>
      </c>
      <c r="G16">
        <v>16</v>
      </c>
    </row>
    <row r="17" spans="1:15" x14ac:dyDescent="0.25">
      <c r="A17" t="s">
        <v>179</v>
      </c>
      <c r="B17">
        <v>710</v>
      </c>
      <c r="C17" s="4">
        <f>(B17*391)/(2220000*10.9)*1000/'Esc Masses 6.0 23'!D15</f>
        <v>8079.1800975287342</v>
      </c>
      <c r="D17" s="5">
        <f>(B17*391)/(2220000*10.9)*1000/'Esc Masses 6.0 23'!E15</f>
        <v>0.76482904923271888</v>
      </c>
      <c r="G17">
        <v>16</v>
      </c>
    </row>
    <row r="18" spans="1:15" x14ac:dyDescent="0.25">
      <c r="A18" t="s">
        <v>90</v>
      </c>
      <c r="B18">
        <v>869</v>
      </c>
      <c r="C18" s="4">
        <f>(B18*391)/(2220000*10.9)*1000/'Esc Masses 6.0 23'!D16</f>
        <v>9617.544527058144</v>
      </c>
      <c r="D18" s="5">
        <f>(B18*391)/(2220000*10.9)*1000/'Esc Masses 6.0 23'!E16</f>
        <v>0.87760093809405737</v>
      </c>
      <c r="E18" s="4">
        <f>AVERAGE(C18:C20)</f>
        <v>9500.2836367881828</v>
      </c>
      <c r="F18" s="27">
        <f>STDEV(C18:C20)/E18</f>
        <v>2.3434100917240939E-2</v>
      </c>
      <c r="G18">
        <v>24</v>
      </c>
    </row>
    <row r="19" spans="1:15" x14ac:dyDescent="0.25">
      <c r="A19" t="s">
        <v>91</v>
      </c>
      <c r="B19">
        <v>778</v>
      </c>
      <c r="C19" s="4">
        <f>(B19*391)/(2220000*10.9)*1000/'Esc Masses 6.0 23'!D17</f>
        <v>9243.5325233490366</v>
      </c>
      <c r="D19" s="5">
        <f>(B19*391)/(2220000*10.9)*1000/'Esc Masses 6.0 23'!E17</f>
        <v>0.83808028211697949</v>
      </c>
      <c r="G19">
        <v>24</v>
      </c>
    </row>
    <row r="20" spans="1:15" x14ac:dyDescent="0.25">
      <c r="A20" t="s">
        <v>92</v>
      </c>
      <c r="B20">
        <v>698</v>
      </c>
      <c r="C20" s="4">
        <f>(B20*391)/(2220000*10.9)*1000/'Esc Masses 6.0 23'!D18</f>
        <v>9639.7738599573659</v>
      </c>
      <c r="D20" s="5">
        <f>(B20*391)/(2220000*10.9)*1000/'Esc Masses 6.0 23'!E18</f>
        <v>0.75190236107667296</v>
      </c>
      <c r="G20">
        <v>24</v>
      </c>
    </row>
    <row r="21" spans="1:15" x14ac:dyDescent="0.25">
      <c r="A21" t="s">
        <v>93</v>
      </c>
      <c r="B21">
        <v>766</v>
      </c>
      <c r="C21" s="4">
        <f>(B21*391)/(2220000*10.9)*1000/'Esc Masses 6.0 23'!D19</f>
        <v>11460.466582790767</v>
      </c>
      <c r="D21" s="5">
        <f>(B21*391)/(2220000*10.9)*1000/'Esc Masses 6.0 23'!E19</f>
        <v>0.82515359396093346</v>
      </c>
      <c r="E21" s="4">
        <f>AVERAGE(C21:C23)</f>
        <v>13599.200325056887</v>
      </c>
      <c r="F21" s="27">
        <f>STDEV(C21:C23)/E21</f>
        <v>0.14256100119645895</v>
      </c>
      <c r="G21">
        <v>36</v>
      </c>
    </row>
    <row r="22" spans="1:15" x14ac:dyDescent="0.25">
      <c r="A22" t="s">
        <v>94</v>
      </c>
      <c r="B22">
        <v>1047</v>
      </c>
      <c r="C22" s="4">
        <f>(B22*391)/(2220000*10.9)*1000/'Esc Masses 6.0 23'!D20</f>
        <v>15241.264075878507</v>
      </c>
      <c r="D22" s="5">
        <f>(B22*391)/(2220000*10.9)*1000/'Esc Masses 6.0 23'!E20</f>
        <v>1.1278535416150095</v>
      </c>
      <c r="G22">
        <v>36</v>
      </c>
    </row>
    <row r="23" spans="1:15" x14ac:dyDescent="0.25">
      <c r="A23" t="s">
        <v>95</v>
      </c>
      <c r="B23">
        <v>1073</v>
      </c>
      <c r="C23" s="4">
        <f>(B23*391)/(2220000*10.9)*1000/'Esc Masses 6.0 23'!D21</f>
        <v>14095.87031650139</v>
      </c>
      <c r="D23" s="5">
        <f>(B23*391)/(2220000*10.9)*1000/'Esc Masses 6.0 23'!E21</f>
        <v>1.1558613659531092</v>
      </c>
      <c r="G23">
        <v>36</v>
      </c>
    </row>
    <row r="24" spans="1:15" x14ac:dyDescent="0.25">
      <c r="A24" t="s">
        <v>99</v>
      </c>
      <c r="B24">
        <v>3</v>
      </c>
      <c r="C24" s="4">
        <f>(B24*391)/(2220000*10.9)*1000/'Esc Masses 6.0 23'!D22</f>
        <v>45.731208099219245</v>
      </c>
      <c r="D24" s="5">
        <f>(B24*391)/(2220000*10.9)*1000/'Esc Masses 6.0 23'!E22</f>
        <v>3.462505756083738E-3</v>
      </c>
      <c r="E24" s="4">
        <f>AVERAGE(C24:C25)</f>
        <v>38.707133652607112</v>
      </c>
      <c r="F24" s="27">
        <f>STDEV(C24:C26)/E24</f>
        <v>0.27014527195188609</v>
      </c>
    </row>
    <row r="25" spans="1:15" x14ac:dyDescent="0.25">
      <c r="A25" t="s">
        <v>100</v>
      </c>
      <c r="B25">
        <v>2</v>
      </c>
      <c r="C25" s="4">
        <f>(B25*391)/(2220000*10.9)*1000/'Esc Masses 6.0 23'!D23</f>
        <v>31.683059205994983</v>
      </c>
      <c r="D25" s="5">
        <f>(B25*391)/(2220000*10.9)*1000/'Esc Masses 6.0 23'!E23</f>
        <v>2.1544480260076589E-3</v>
      </c>
    </row>
    <row r="26" spans="1:15" x14ac:dyDescent="0.25">
      <c r="A26" t="s">
        <v>101</v>
      </c>
      <c r="B26">
        <v>4</v>
      </c>
      <c r="C26" s="4">
        <f>(B26*391)/(2220000*10.9)*1000/'Esc Masses 6.0 23'!D24</f>
        <v>52.123742564701509</v>
      </c>
      <c r="D26" s="5">
        <f>(B26*391)/(2220000*10.9)*1000/'Esc Masses 6.0 23'!E24</f>
        <v>4.3088960520153178E-3</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0</v>
      </c>
      <c r="C32">
        <v>2</v>
      </c>
      <c r="D32">
        <v>0</v>
      </c>
      <c r="E32">
        <v>0</v>
      </c>
      <c r="F32">
        <v>4</v>
      </c>
      <c r="G32" s="28">
        <f t="shared" ref="G32:G38" si="0">(E32)/(SUM(B32+C32+D32+E32+F32))</f>
        <v>0</v>
      </c>
      <c r="I32" t="s">
        <v>102</v>
      </c>
      <c r="J32">
        <v>19</v>
      </c>
      <c r="L32">
        <v>0</v>
      </c>
      <c r="M32">
        <v>0</v>
      </c>
      <c r="N32">
        <v>0</v>
      </c>
      <c r="O32">
        <v>0</v>
      </c>
    </row>
    <row r="33" spans="1:15" x14ac:dyDescent="0.25">
      <c r="A33" t="s">
        <v>123</v>
      </c>
      <c r="B33">
        <v>33</v>
      </c>
      <c r="C33">
        <v>7</v>
      </c>
      <c r="D33">
        <v>7</v>
      </c>
      <c r="E33">
        <v>425</v>
      </c>
      <c r="F33">
        <v>5</v>
      </c>
      <c r="G33" s="28">
        <f t="shared" si="0"/>
        <v>0.89098532494758909</v>
      </c>
      <c r="L33">
        <v>0</v>
      </c>
      <c r="M33">
        <v>0</v>
      </c>
      <c r="N33">
        <v>0</v>
      </c>
      <c r="O33">
        <v>0</v>
      </c>
    </row>
    <row r="34" spans="1:15" x14ac:dyDescent="0.25">
      <c r="A34" t="s">
        <v>124</v>
      </c>
      <c r="B34">
        <v>88</v>
      </c>
      <c r="C34">
        <v>13</v>
      </c>
      <c r="D34">
        <v>10</v>
      </c>
      <c r="E34">
        <v>572</v>
      </c>
      <c r="F34">
        <v>3</v>
      </c>
      <c r="G34" s="28">
        <f t="shared" si="0"/>
        <v>0.83381924198250734</v>
      </c>
      <c r="L34">
        <v>0</v>
      </c>
      <c r="M34">
        <v>0</v>
      </c>
      <c r="N34">
        <v>0</v>
      </c>
      <c r="O34">
        <v>0</v>
      </c>
    </row>
    <row r="35" spans="1:15" x14ac:dyDescent="0.25">
      <c r="A35" t="s">
        <v>125</v>
      </c>
      <c r="B35">
        <v>181</v>
      </c>
      <c r="C35">
        <v>26</v>
      </c>
      <c r="D35">
        <v>13</v>
      </c>
      <c r="E35">
        <v>551</v>
      </c>
      <c r="F35">
        <v>4</v>
      </c>
      <c r="G35" s="28">
        <f t="shared" si="0"/>
        <v>0.71096774193548384</v>
      </c>
      <c r="L35">
        <v>3</v>
      </c>
      <c r="M35">
        <v>2843</v>
      </c>
      <c r="N35" s="4">
        <f>M35*0.89</f>
        <v>2530.27</v>
      </c>
      <c r="O35" s="4">
        <f>M35-N35</f>
        <v>312.73</v>
      </c>
    </row>
    <row r="36" spans="1:15" x14ac:dyDescent="0.25">
      <c r="A36" t="s">
        <v>180</v>
      </c>
      <c r="B36">
        <v>278</v>
      </c>
      <c r="C36">
        <v>23</v>
      </c>
      <c r="D36">
        <v>20</v>
      </c>
      <c r="E36">
        <v>715</v>
      </c>
      <c r="F36">
        <v>11</v>
      </c>
      <c r="G36" s="28">
        <f t="shared" si="0"/>
        <v>0.68290353390639924</v>
      </c>
      <c r="L36">
        <v>3</v>
      </c>
      <c r="M36">
        <v>2941</v>
      </c>
      <c r="N36" s="4">
        <f t="shared" ref="N36:N37" si="1">M36*0.89</f>
        <v>2617.4900000000002</v>
      </c>
      <c r="O36" s="4">
        <f t="shared" ref="O36:O52" si="2">M36-N36</f>
        <v>323.50999999999976</v>
      </c>
    </row>
    <row r="37" spans="1:15" x14ac:dyDescent="0.25">
      <c r="A37" t="s">
        <v>126</v>
      </c>
      <c r="B37">
        <v>590</v>
      </c>
      <c r="C37">
        <v>45</v>
      </c>
      <c r="D37">
        <v>31</v>
      </c>
      <c r="E37">
        <v>834</v>
      </c>
      <c r="F37">
        <v>6</v>
      </c>
      <c r="G37" s="28">
        <f t="shared" si="0"/>
        <v>0.55378486055776888</v>
      </c>
      <c r="L37">
        <v>3</v>
      </c>
      <c r="M37">
        <v>2461</v>
      </c>
      <c r="N37" s="4">
        <f t="shared" si="1"/>
        <v>2190.29</v>
      </c>
      <c r="O37" s="4">
        <f t="shared" si="2"/>
        <v>270.71000000000004</v>
      </c>
    </row>
    <row r="38" spans="1:15" x14ac:dyDescent="0.25">
      <c r="A38" t="s">
        <v>127</v>
      </c>
      <c r="B38">
        <v>869</v>
      </c>
      <c r="C38">
        <v>67</v>
      </c>
      <c r="D38">
        <v>31</v>
      </c>
      <c r="E38">
        <v>801</v>
      </c>
      <c r="F38">
        <v>6</v>
      </c>
      <c r="G38" s="28">
        <f t="shared" si="0"/>
        <v>0.45152198421646</v>
      </c>
      <c r="L38">
        <v>6</v>
      </c>
      <c r="M38">
        <v>2920</v>
      </c>
      <c r="N38" s="4">
        <f>M38*0.83</f>
        <v>2423.6</v>
      </c>
      <c r="O38" s="4">
        <f t="shared" si="2"/>
        <v>496.40000000000009</v>
      </c>
    </row>
    <row r="39" spans="1:15" x14ac:dyDescent="0.25">
      <c r="L39">
        <v>6</v>
      </c>
      <c r="M39">
        <v>3485</v>
      </c>
      <c r="N39" s="4">
        <f t="shared" ref="N39:N40" si="3">M39*0.83</f>
        <v>2892.5499999999997</v>
      </c>
      <c r="O39" s="4">
        <f t="shared" si="2"/>
        <v>592.45000000000027</v>
      </c>
    </row>
    <row r="40" spans="1:15" x14ac:dyDescent="0.25">
      <c r="L40">
        <v>6</v>
      </c>
      <c r="M40">
        <v>4345</v>
      </c>
      <c r="N40" s="4">
        <f t="shared" si="3"/>
        <v>3606.35</v>
      </c>
      <c r="O40" s="4">
        <f t="shared" si="2"/>
        <v>738.65000000000009</v>
      </c>
    </row>
    <row r="41" spans="1:15" x14ac:dyDescent="0.25">
      <c r="L41">
        <v>12</v>
      </c>
      <c r="M41">
        <v>5078</v>
      </c>
      <c r="N41" s="4">
        <f>M41*0.71</f>
        <v>3605.3799999999997</v>
      </c>
      <c r="O41" s="4">
        <f t="shared" si="2"/>
        <v>1472.6200000000003</v>
      </c>
    </row>
    <row r="42" spans="1:15" x14ac:dyDescent="0.25">
      <c r="L42">
        <v>12</v>
      </c>
      <c r="M42">
        <v>3741</v>
      </c>
      <c r="N42" s="4">
        <f t="shared" ref="N42:N43" si="4">M42*0.71</f>
        <v>2656.1099999999997</v>
      </c>
      <c r="O42" s="4">
        <f t="shared" si="2"/>
        <v>1084.8900000000003</v>
      </c>
    </row>
    <row r="43" spans="1:15" x14ac:dyDescent="0.25">
      <c r="L43">
        <v>12</v>
      </c>
      <c r="M43">
        <v>3858</v>
      </c>
      <c r="N43" s="4">
        <f t="shared" si="4"/>
        <v>2739.18</v>
      </c>
      <c r="O43" s="4">
        <f t="shared" si="2"/>
        <v>1118.8200000000002</v>
      </c>
    </row>
    <row r="44" spans="1:15" x14ac:dyDescent="0.25">
      <c r="L44">
        <v>16</v>
      </c>
      <c r="M44">
        <v>7368</v>
      </c>
      <c r="N44" s="4">
        <f>M44*0.68</f>
        <v>5010.2400000000007</v>
      </c>
      <c r="O44" s="4">
        <f t="shared" si="2"/>
        <v>2357.7599999999993</v>
      </c>
    </row>
    <row r="45" spans="1:15" x14ac:dyDescent="0.25">
      <c r="L45">
        <v>16</v>
      </c>
      <c r="M45">
        <v>7696</v>
      </c>
      <c r="N45" s="4">
        <f t="shared" ref="N45:N46" si="5">M45*0.68</f>
        <v>5233.2800000000007</v>
      </c>
      <c r="O45" s="4">
        <f t="shared" si="2"/>
        <v>2462.7199999999993</v>
      </c>
    </row>
    <row r="46" spans="1:15" x14ac:dyDescent="0.25">
      <c r="L46">
        <v>16</v>
      </c>
      <c r="M46">
        <v>8079</v>
      </c>
      <c r="N46" s="4">
        <f t="shared" si="5"/>
        <v>5493.72</v>
      </c>
      <c r="O46" s="4">
        <f t="shared" si="2"/>
        <v>2585.2799999999997</v>
      </c>
    </row>
    <row r="47" spans="1:15" x14ac:dyDescent="0.25">
      <c r="L47">
        <v>24</v>
      </c>
      <c r="M47">
        <v>9618</v>
      </c>
      <c r="N47" s="4">
        <f>M47*0.55</f>
        <v>5289.9000000000005</v>
      </c>
      <c r="O47" s="4">
        <f t="shared" si="2"/>
        <v>4328.0999999999995</v>
      </c>
    </row>
    <row r="48" spans="1:15" x14ac:dyDescent="0.25">
      <c r="L48">
        <v>24</v>
      </c>
      <c r="M48">
        <v>9244</v>
      </c>
      <c r="N48" s="4">
        <f t="shared" ref="N48:N49" si="6">M48*0.55</f>
        <v>5084.2000000000007</v>
      </c>
      <c r="O48" s="4">
        <f t="shared" si="2"/>
        <v>4159.7999999999993</v>
      </c>
    </row>
    <row r="49" spans="12:15" x14ac:dyDescent="0.25">
      <c r="L49">
        <v>24</v>
      </c>
      <c r="M49">
        <v>9640</v>
      </c>
      <c r="N49" s="4">
        <f t="shared" si="6"/>
        <v>5302</v>
      </c>
      <c r="O49" s="4">
        <f t="shared" si="2"/>
        <v>4338</v>
      </c>
    </row>
    <row r="50" spans="12:15" x14ac:dyDescent="0.25">
      <c r="L50">
        <v>36</v>
      </c>
      <c r="M50">
        <v>11460</v>
      </c>
      <c r="N50" s="4">
        <f>M50*0.45</f>
        <v>5157</v>
      </c>
      <c r="O50" s="4">
        <f t="shared" si="2"/>
        <v>6303</v>
      </c>
    </row>
    <row r="51" spans="12:15" x14ac:dyDescent="0.25">
      <c r="L51">
        <v>36</v>
      </c>
      <c r="M51">
        <v>15241</v>
      </c>
      <c r="N51" s="4">
        <f t="shared" ref="N51:N52" si="7">M51*0.45</f>
        <v>6858.45</v>
      </c>
      <c r="O51" s="4">
        <f t="shared" si="2"/>
        <v>8382.5499999999993</v>
      </c>
    </row>
    <row r="52" spans="12:15" x14ac:dyDescent="0.25">
      <c r="L52">
        <v>36</v>
      </c>
      <c r="M52">
        <v>14096</v>
      </c>
      <c r="N52" s="4">
        <f t="shared" si="7"/>
        <v>6343.2</v>
      </c>
      <c r="O52" s="4">
        <f t="shared" si="2"/>
        <v>7752.8</v>
      </c>
    </row>
  </sheetData>
  <pageMargins left="0.75" right="0.75" top="1" bottom="1" header="0.5" footer="0.5"/>
  <pageSetup orientation="portrait" horizontalDpi="4294967292" verticalDpi="4294967292"/>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J46"/>
  <sheetViews>
    <sheetView topLeftCell="A6" workbookViewId="0">
      <selection activeCell="C27" sqref="C27"/>
    </sheetView>
  </sheetViews>
  <sheetFormatPr defaultColWidth="11" defaultRowHeight="15.75" x14ac:dyDescent="0.25"/>
  <cols>
    <col min="2" max="2" width="23.875" customWidth="1"/>
    <col min="6" max="6" width="12.625" customWidth="1"/>
  </cols>
  <sheetData>
    <row r="1" spans="1:10" x14ac:dyDescent="0.25">
      <c r="C1" t="s">
        <v>102</v>
      </c>
      <c r="D1">
        <v>19</v>
      </c>
    </row>
    <row r="3" spans="1:10" x14ac:dyDescent="0.25">
      <c r="A3" t="s">
        <v>75</v>
      </c>
      <c r="B3" t="s">
        <v>129</v>
      </c>
      <c r="C3" t="s">
        <v>130</v>
      </c>
      <c r="D3" t="s">
        <v>131</v>
      </c>
      <c r="E3" t="s">
        <v>132</v>
      </c>
      <c r="F3" t="s">
        <v>133</v>
      </c>
      <c r="H3" t="s">
        <v>134</v>
      </c>
    </row>
    <row r="4" spans="1:10" x14ac:dyDescent="0.25">
      <c r="A4" t="s">
        <v>136</v>
      </c>
      <c r="B4">
        <v>0</v>
      </c>
      <c r="C4">
        <f>B4/10</f>
        <v>0</v>
      </c>
      <c r="D4" s="4">
        <f>(C4*391*1000)/(2220000*10.9)</f>
        <v>0</v>
      </c>
      <c r="E4" s="4"/>
      <c r="J4" s="19"/>
    </row>
    <row r="5" spans="1:10" x14ac:dyDescent="0.25">
      <c r="A5" t="s">
        <v>137</v>
      </c>
      <c r="B5">
        <v>70</v>
      </c>
      <c r="C5">
        <f>B5/2000</f>
        <v>3.5000000000000003E-2</v>
      </c>
      <c r="D5" s="2">
        <f>(C5*391*1000)/(2220000*10.9)</f>
        <v>5.6554260682701045E-4</v>
      </c>
      <c r="E5" s="4">
        <f>D5*1000*1000</f>
        <v>565.54260682701045</v>
      </c>
    </row>
    <row r="6" spans="1:10" x14ac:dyDescent="0.25">
      <c r="A6" t="s">
        <v>138</v>
      </c>
      <c r="B6">
        <v>65</v>
      </c>
      <c r="C6">
        <f t="shared" ref="C6:C31" si="0">B6/2000</f>
        <v>3.2500000000000001E-2</v>
      </c>
      <c r="D6" s="2">
        <f t="shared" ref="D6:D31" si="1">(C6*391*1000)/(2220000*10.9)</f>
        <v>5.2514670633936687E-4</v>
      </c>
      <c r="E6" s="4">
        <f t="shared" ref="E6:E31" si="2">D6*1000*1000</f>
        <v>525.14670633936692</v>
      </c>
    </row>
    <row r="7" spans="1:10" x14ac:dyDescent="0.25">
      <c r="A7" t="s">
        <v>139</v>
      </c>
      <c r="B7">
        <v>56</v>
      </c>
      <c r="C7">
        <f t="shared" si="0"/>
        <v>2.8000000000000001E-2</v>
      </c>
      <c r="D7" s="2">
        <f t="shared" si="1"/>
        <v>4.5243408546160842E-4</v>
      </c>
      <c r="E7" s="4">
        <f t="shared" si="2"/>
        <v>452.43408546160839</v>
      </c>
    </row>
    <row r="8" spans="1:10" x14ac:dyDescent="0.25">
      <c r="A8" t="s">
        <v>181</v>
      </c>
      <c r="B8">
        <v>69</v>
      </c>
      <c r="C8">
        <f t="shared" si="0"/>
        <v>3.4500000000000003E-2</v>
      </c>
      <c r="D8" s="2">
        <f t="shared" si="1"/>
        <v>5.5746342672948184E-4</v>
      </c>
      <c r="E8" s="4">
        <f t="shared" si="2"/>
        <v>557.46342672948174</v>
      </c>
    </row>
    <row r="9" spans="1:10" x14ac:dyDescent="0.25">
      <c r="A9" t="s">
        <v>140</v>
      </c>
      <c r="B9">
        <v>71</v>
      </c>
      <c r="C9">
        <f t="shared" si="0"/>
        <v>3.5499999999999997E-2</v>
      </c>
      <c r="D9" s="2">
        <f t="shared" si="1"/>
        <v>5.7362178692453916E-4</v>
      </c>
      <c r="E9" s="4">
        <f t="shared" si="2"/>
        <v>573.62178692453915</v>
      </c>
    </row>
    <row r="10" spans="1:10" x14ac:dyDescent="0.25">
      <c r="A10" t="s">
        <v>141</v>
      </c>
      <c r="B10">
        <v>86</v>
      </c>
      <c r="C10">
        <f t="shared" si="0"/>
        <v>4.2999999999999997E-2</v>
      </c>
      <c r="D10" s="2">
        <f t="shared" si="1"/>
        <v>6.9480948838747001E-4</v>
      </c>
      <c r="E10" s="4">
        <f t="shared" si="2"/>
        <v>694.80948838747008</v>
      </c>
    </row>
    <row r="11" spans="1:10" x14ac:dyDescent="0.25">
      <c r="A11" t="s">
        <v>143</v>
      </c>
      <c r="B11">
        <v>82</v>
      </c>
      <c r="C11">
        <f t="shared" si="0"/>
        <v>4.1000000000000002E-2</v>
      </c>
      <c r="D11" s="2">
        <f t="shared" si="1"/>
        <v>6.6249276799735526E-4</v>
      </c>
      <c r="E11" s="4">
        <f t="shared" si="2"/>
        <v>662.49276799735526</v>
      </c>
      <c r="F11" s="4">
        <f>AVERAGE(E11:E13)</f>
        <v>511.68140617681905</v>
      </c>
      <c r="G11" s="27">
        <f>STDEV(E11:E13)/F11</f>
        <v>0.25573748659487083</v>
      </c>
      <c r="H11" s="13">
        <f>E11/1000</f>
        <v>0.66249276799735524</v>
      </c>
      <c r="I11">
        <v>3</v>
      </c>
    </row>
    <row r="12" spans="1:10" x14ac:dyDescent="0.25">
      <c r="A12" t="s">
        <v>144</v>
      </c>
      <c r="B12">
        <v>53</v>
      </c>
      <c r="C12">
        <f t="shared" si="0"/>
        <v>2.6499999999999999E-2</v>
      </c>
      <c r="D12" s="2">
        <f t="shared" si="1"/>
        <v>4.2819654516902222E-4</v>
      </c>
      <c r="E12" s="4">
        <f t="shared" si="2"/>
        <v>428.19654516902222</v>
      </c>
      <c r="H12" s="13">
        <f t="shared" ref="H12:H28" si="3">E12/1000</f>
        <v>0.42819654516902222</v>
      </c>
      <c r="I12">
        <v>3</v>
      </c>
    </row>
    <row r="13" spans="1:10" x14ac:dyDescent="0.25">
      <c r="A13" t="s">
        <v>145</v>
      </c>
      <c r="B13">
        <v>55</v>
      </c>
      <c r="C13">
        <f t="shared" si="0"/>
        <v>2.75E-2</v>
      </c>
      <c r="D13" s="2">
        <f t="shared" si="1"/>
        <v>4.4435490536407965E-4</v>
      </c>
      <c r="E13" s="4">
        <f t="shared" si="2"/>
        <v>444.35490536407968</v>
      </c>
      <c r="H13" s="13">
        <f t="shared" si="3"/>
        <v>0.44435490536407968</v>
      </c>
      <c r="I13">
        <v>3</v>
      </c>
    </row>
    <row r="14" spans="1:10" x14ac:dyDescent="0.25">
      <c r="A14" t="s">
        <v>146</v>
      </c>
      <c r="B14">
        <v>47</v>
      </c>
      <c r="C14">
        <f t="shared" si="0"/>
        <v>2.35E-2</v>
      </c>
      <c r="D14" s="2">
        <f t="shared" si="1"/>
        <v>3.7972146458384993E-4</v>
      </c>
      <c r="E14" s="4">
        <f t="shared" si="2"/>
        <v>379.72146458384992</v>
      </c>
      <c r="F14" s="4">
        <f>AVERAGE(E14:E16)</f>
        <v>401.26594484392649</v>
      </c>
      <c r="G14" s="27">
        <f>STDEV(E14:E16)/F14</f>
        <v>9.2996016513765212E-2</v>
      </c>
      <c r="H14" s="13">
        <f t="shared" si="3"/>
        <v>0.37972146458384992</v>
      </c>
      <c r="I14">
        <v>6</v>
      </c>
    </row>
    <row r="15" spans="1:10" x14ac:dyDescent="0.25">
      <c r="A15" t="s">
        <v>147</v>
      </c>
      <c r="B15">
        <v>55</v>
      </c>
      <c r="C15">
        <f t="shared" si="0"/>
        <v>2.75E-2</v>
      </c>
      <c r="D15" s="2">
        <f t="shared" si="1"/>
        <v>4.4435490536407965E-4</v>
      </c>
      <c r="E15" s="4">
        <f t="shared" si="2"/>
        <v>444.35490536407968</v>
      </c>
      <c r="H15" s="13">
        <f t="shared" si="3"/>
        <v>0.44435490536407968</v>
      </c>
      <c r="I15">
        <v>6</v>
      </c>
    </row>
    <row r="16" spans="1:10" x14ac:dyDescent="0.25">
      <c r="A16" t="s">
        <v>148</v>
      </c>
      <c r="B16">
        <v>47</v>
      </c>
      <c r="C16">
        <f t="shared" si="0"/>
        <v>2.35E-2</v>
      </c>
      <c r="D16" s="2">
        <f t="shared" si="1"/>
        <v>3.7972146458384993E-4</v>
      </c>
      <c r="E16" s="4">
        <f t="shared" si="2"/>
        <v>379.72146458384992</v>
      </c>
      <c r="H16" s="13">
        <f t="shared" si="3"/>
        <v>0.37972146458384992</v>
      </c>
      <c r="I16">
        <v>6</v>
      </c>
    </row>
    <row r="17" spans="1:9" x14ac:dyDescent="0.25">
      <c r="A17" t="s">
        <v>149</v>
      </c>
      <c r="B17">
        <v>62</v>
      </c>
      <c r="C17">
        <f t="shared" si="0"/>
        <v>3.1E-2</v>
      </c>
      <c r="D17" s="2">
        <f t="shared" si="1"/>
        <v>5.0090916604678072E-4</v>
      </c>
      <c r="E17" s="4">
        <f t="shared" si="2"/>
        <v>500.90916604678068</v>
      </c>
      <c r="F17" s="4">
        <f>AVERAGE(E17:E19)</f>
        <v>425.50348513651261</v>
      </c>
      <c r="G17" s="27">
        <f>STDEV(E17:E19)/F17</f>
        <v>0.16370274881490571</v>
      </c>
      <c r="H17" s="13">
        <f t="shared" si="3"/>
        <v>0.50090916604678071</v>
      </c>
      <c r="I17">
        <v>12</v>
      </c>
    </row>
    <row r="18" spans="1:9" x14ac:dyDescent="0.25">
      <c r="A18" t="s">
        <v>150</v>
      </c>
      <c r="B18">
        <v>45</v>
      </c>
      <c r="C18">
        <f t="shared" si="0"/>
        <v>2.2499999999999999E-2</v>
      </c>
      <c r="D18" s="2">
        <f t="shared" si="1"/>
        <v>3.6356310438879244E-4</v>
      </c>
      <c r="E18" s="4">
        <f t="shared" si="2"/>
        <v>363.5631043887924</v>
      </c>
      <c r="H18" s="13">
        <f t="shared" si="3"/>
        <v>0.36356310438879241</v>
      </c>
      <c r="I18">
        <v>12</v>
      </c>
    </row>
    <row r="19" spans="1:9" x14ac:dyDescent="0.25">
      <c r="A19" t="s">
        <v>151</v>
      </c>
      <c r="B19">
        <v>51</v>
      </c>
      <c r="C19">
        <f t="shared" si="0"/>
        <v>2.5499999999999998E-2</v>
      </c>
      <c r="D19" s="2">
        <f t="shared" si="1"/>
        <v>4.1203818497396479E-4</v>
      </c>
      <c r="E19" s="4">
        <f t="shared" si="2"/>
        <v>412.03818497396475</v>
      </c>
      <c r="H19" s="13">
        <f t="shared" si="3"/>
        <v>0.41203818497396477</v>
      </c>
      <c r="I19">
        <v>12</v>
      </c>
    </row>
    <row r="20" spans="1:9" x14ac:dyDescent="0.25">
      <c r="A20" t="s">
        <v>182</v>
      </c>
      <c r="B20">
        <v>50</v>
      </c>
      <c r="C20">
        <f t="shared" si="0"/>
        <v>2.5000000000000001E-2</v>
      </c>
      <c r="D20" s="2">
        <f t="shared" si="1"/>
        <v>4.0395900487643607E-4</v>
      </c>
      <c r="E20" s="4">
        <f t="shared" si="2"/>
        <v>403.9590048764361</v>
      </c>
      <c r="F20" s="4">
        <f>AVERAGE(E20:E22)</f>
        <v>476.67162575419457</v>
      </c>
      <c r="G20" s="27">
        <f>STDEV(E20:E22)/F20</f>
        <v>0.15254237288135558</v>
      </c>
      <c r="H20" s="13">
        <f t="shared" si="3"/>
        <v>0.4039590048764361</v>
      </c>
      <c r="I20">
        <v>16</v>
      </c>
    </row>
    <row r="21" spans="1:9" x14ac:dyDescent="0.25">
      <c r="A21" t="s">
        <v>183</v>
      </c>
      <c r="B21">
        <v>68</v>
      </c>
      <c r="C21">
        <f t="shared" si="0"/>
        <v>3.4000000000000002E-2</v>
      </c>
      <c r="D21" s="2">
        <f t="shared" si="1"/>
        <v>5.4938424663195302E-4</v>
      </c>
      <c r="E21" s="4">
        <f t="shared" si="2"/>
        <v>549.38424663195303</v>
      </c>
      <c r="H21" s="13">
        <f t="shared" si="3"/>
        <v>0.54938424663195307</v>
      </c>
      <c r="I21">
        <v>16</v>
      </c>
    </row>
    <row r="22" spans="1:9" x14ac:dyDescent="0.25">
      <c r="A22" t="s">
        <v>184</v>
      </c>
      <c r="B22">
        <v>59</v>
      </c>
      <c r="C22">
        <f t="shared" si="0"/>
        <v>2.9499999999999998E-2</v>
      </c>
      <c r="D22" s="2">
        <f t="shared" si="1"/>
        <v>4.7667162575419457E-4</v>
      </c>
      <c r="E22" s="4">
        <f t="shared" si="2"/>
        <v>476.67162575419457</v>
      </c>
      <c r="H22" s="13">
        <f t="shared" si="3"/>
        <v>0.47667162575419458</v>
      </c>
      <c r="I22">
        <v>16</v>
      </c>
    </row>
    <row r="23" spans="1:9" x14ac:dyDescent="0.25">
      <c r="A23" t="s">
        <v>152</v>
      </c>
      <c r="B23">
        <v>47</v>
      </c>
      <c r="C23">
        <f t="shared" si="0"/>
        <v>2.35E-2</v>
      </c>
      <c r="D23" s="2">
        <f t="shared" si="1"/>
        <v>3.7972146458384993E-4</v>
      </c>
      <c r="E23" s="4">
        <f t="shared" si="2"/>
        <v>379.72146458384992</v>
      </c>
      <c r="F23" s="4">
        <f>AVERAGE(E23:E25)</f>
        <v>366.25616442130212</v>
      </c>
      <c r="G23" s="27">
        <f>STDEV(E23:E25)/F23</f>
        <v>0.1254317802149385</v>
      </c>
      <c r="H23" s="13">
        <f t="shared" si="3"/>
        <v>0.37972146458384992</v>
      </c>
      <c r="I23">
        <v>24</v>
      </c>
    </row>
    <row r="24" spans="1:9" x14ac:dyDescent="0.25">
      <c r="A24" t="s">
        <v>153</v>
      </c>
      <c r="B24">
        <v>39</v>
      </c>
      <c r="C24">
        <f t="shared" si="0"/>
        <v>1.95E-2</v>
      </c>
      <c r="D24" s="2">
        <f t="shared" si="1"/>
        <v>3.1508802380362014E-4</v>
      </c>
      <c r="E24" s="4">
        <f t="shared" si="2"/>
        <v>315.08802380362016</v>
      </c>
      <c r="H24" s="13">
        <f t="shared" si="3"/>
        <v>0.31508802380362017</v>
      </c>
      <c r="I24">
        <v>24</v>
      </c>
    </row>
    <row r="25" spans="1:9" x14ac:dyDescent="0.25">
      <c r="A25" t="s">
        <v>154</v>
      </c>
      <c r="B25">
        <v>50</v>
      </c>
      <c r="C25">
        <f t="shared" si="0"/>
        <v>2.5000000000000001E-2</v>
      </c>
      <c r="D25" s="2">
        <f t="shared" si="1"/>
        <v>4.0395900487643607E-4</v>
      </c>
      <c r="E25" s="4">
        <f t="shared" si="2"/>
        <v>403.9590048764361</v>
      </c>
      <c r="H25" s="13">
        <f t="shared" si="3"/>
        <v>0.4039590048764361</v>
      </c>
      <c r="I25">
        <v>24</v>
      </c>
    </row>
    <row r="26" spans="1:9" x14ac:dyDescent="0.25">
      <c r="A26" t="s">
        <v>155</v>
      </c>
      <c r="B26">
        <v>53</v>
      </c>
      <c r="C26">
        <f t="shared" si="0"/>
        <v>2.6499999999999999E-2</v>
      </c>
      <c r="D26" s="2">
        <f t="shared" si="1"/>
        <v>4.2819654516902222E-4</v>
      </c>
      <c r="E26" s="4">
        <f t="shared" si="2"/>
        <v>428.19654516902222</v>
      </c>
      <c r="F26" s="4">
        <f>AVERAGE(E26:E28)</f>
        <v>414.73124500647435</v>
      </c>
      <c r="G26" s="27">
        <f>STDEV(E26:E28)/F26</f>
        <v>5.6235415830158328E-2</v>
      </c>
      <c r="H26" s="13">
        <f t="shared" si="3"/>
        <v>0.42819654516902222</v>
      </c>
      <c r="I26">
        <v>36</v>
      </c>
    </row>
    <row r="27" spans="1:9" x14ac:dyDescent="0.25">
      <c r="A27" t="s">
        <v>156</v>
      </c>
      <c r="B27">
        <v>48</v>
      </c>
      <c r="C27">
        <f t="shared" si="0"/>
        <v>2.4E-2</v>
      </c>
      <c r="D27" s="2">
        <f t="shared" si="1"/>
        <v>3.8780064468137864E-4</v>
      </c>
      <c r="E27" s="4">
        <f t="shared" si="2"/>
        <v>387.80064468137863</v>
      </c>
      <c r="H27" s="13">
        <f t="shared" si="3"/>
        <v>0.38780064468137865</v>
      </c>
      <c r="I27">
        <v>36</v>
      </c>
    </row>
    <row r="28" spans="1:9" x14ac:dyDescent="0.25">
      <c r="A28" t="s">
        <v>157</v>
      </c>
      <c r="B28">
        <v>53</v>
      </c>
      <c r="C28">
        <f t="shared" si="0"/>
        <v>2.6499999999999999E-2</v>
      </c>
      <c r="D28" s="2">
        <f t="shared" si="1"/>
        <v>4.2819654516902222E-4</v>
      </c>
      <c r="E28" s="4">
        <f t="shared" si="2"/>
        <v>428.19654516902222</v>
      </c>
      <c r="H28" s="13">
        <f t="shared" si="3"/>
        <v>0.42819654516902222</v>
      </c>
      <c r="I28">
        <v>36</v>
      </c>
    </row>
    <row r="29" spans="1:9" x14ac:dyDescent="0.25">
      <c r="A29" t="s">
        <v>99</v>
      </c>
      <c r="B29">
        <v>4</v>
      </c>
      <c r="C29">
        <f t="shared" si="0"/>
        <v>2E-3</v>
      </c>
      <c r="D29" s="2">
        <f t="shared" si="1"/>
        <v>3.2316720390114885E-5</v>
      </c>
      <c r="E29" s="4">
        <f t="shared" si="2"/>
        <v>32.316720390114888</v>
      </c>
      <c r="F29" s="4">
        <f>AVERAGE(E29:E31)</f>
        <v>18.851420227567019</v>
      </c>
    </row>
    <row r="30" spans="1:9" x14ac:dyDescent="0.25">
      <c r="A30" t="s">
        <v>100</v>
      </c>
      <c r="B30">
        <v>3</v>
      </c>
      <c r="C30">
        <f t="shared" si="0"/>
        <v>1.5E-3</v>
      </c>
      <c r="D30" s="2">
        <f t="shared" si="1"/>
        <v>2.4237540292586165E-5</v>
      </c>
      <c r="E30" s="4">
        <f t="shared" si="2"/>
        <v>24.237540292586164</v>
      </c>
    </row>
    <row r="31" spans="1:9" x14ac:dyDescent="0.25">
      <c r="A31" t="s">
        <v>101</v>
      </c>
      <c r="B31">
        <v>0</v>
      </c>
      <c r="C31">
        <f t="shared" si="0"/>
        <v>0</v>
      </c>
      <c r="D31" s="2">
        <f t="shared" si="1"/>
        <v>0</v>
      </c>
      <c r="E31" s="4">
        <f t="shared" si="2"/>
        <v>0</v>
      </c>
    </row>
    <row r="32" spans="1:9" x14ac:dyDescent="0.25">
      <c r="D32" s="2"/>
      <c r="E32" s="4"/>
    </row>
    <row r="33" spans="1:5" x14ac:dyDescent="0.25">
      <c r="D33" s="2"/>
      <c r="E33" s="4"/>
    </row>
    <row r="34" spans="1:5" x14ac:dyDescent="0.25">
      <c r="A34" s="14" t="s">
        <v>164</v>
      </c>
      <c r="B34" s="14">
        <f t="array" ref="B34:C38">LINEST(E11:E28,I11:I28,TRUE,TRUE)</f>
        <v>-2.1026607153446659</v>
      </c>
      <c r="C34" s="15">
        <v>466.67799345461026</v>
      </c>
      <c r="D34" s="16" t="s">
        <v>165</v>
      </c>
      <c r="E34" s="17"/>
    </row>
    <row r="35" spans="1:5" x14ac:dyDescent="0.25">
      <c r="A35" s="14" t="s">
        <v>166</v>
      </c>
      <c r="B35" s="14">
        <v>1.621737307482962</v>
      </c>
      <c r="C35" s="15">
        <v>31.868960603056482</v>
      </c>
      <c r="D35" s="16" t="s">
        <v>166</v>
      </c>
      <c r="E35" s="17"/>
    </row>
    <row r="36" spans="1:5" x14ac:dyDescent="0.25">
      <c r="A36" s="14" t="s">
        <v>167</v>
      </c>
      <c r="B36" s="14">
        <v>9.5075724260633751E-2</v>
      </c>
      <c r="C36" s="15">
        <v>76.865900443265531</v>
      </c>
      <c r="D36" s="16" t="s">
        <v>168</v>
      </c>
      <c r="E36" s="17"/>
    </row>
    <row r="37" spans="1:5" x14ac:dyDescent="0.25">
      <c r="A37" s="14" t="s">
        <v>169</v>
      </c>
      <c r="B37" s="14">
        <v>1.6810374403175754</v>
      </c>
      <c r="C37" s="15">
        <v>16</v>
      </c>
      <c r="D37" s="16" t="s">
        <v>170</v>
      </c>
      <c r="E37" s="17"/>
    </row>
    <row r="38" spans="1:5" x14ac:dyDescent="0.25">
      <c r="A38" s="14" t="s">
        <v>171</v>
      </c>
      <c r="B38" s="14">
        <v>9932.1855513774499</v>
      </c>
      <c r="C38" s="15">
        <v>94533.866415264114</v>
      </c>
      <c r="D38" s="16" t="s">
        <v>172</v>
      </c>
      <c r="E38" s="17"/>
    </row>
    <row r="39" spans="1:5" x14ac:dyDescent="0.25">
      <c r="D39" s="2"/>
      <c r="E39" s="4"/>
    </row>
    <row r="40" spans="1:5" x14ac:dyDescent="0.25">
      <c r="D40" s="2"/>
      <c r="E40" s="4"/>
    </row>
    <row r="41" spans="1:5" x14ac:dyDescent="0.25">
      <c r="A41" s="14" t="s">
        <v>173</v>
      </c>
      <c r="B41" s="14">
        <f>B34/B35</f>
        <v>-1.2965482792081335</v>
      </c>
      <c r="D41" s="2"/>
      <c r="E41" s="4"/>
    </row>
    <row r="42" spans="1:5" x14ac:dyDescent="0.25">
      <c r="A42" s="14" t="s">
        <v>174</v>
      </c>
      <c r="B42" s="14">
        <f>TDIST(ABS(B41),C37,2)</f>
        <v>0.21317516844788106</v>
      </c>
      <c r="C42" t="s">
        <v>175</v>
      </c>
      <c r="D42" s="2"/>
      <c r="E42" s="4"/>
    </row>
    <row r="43" spans="1:5" x14ac:dyDescent="0.25">
      <c r="D43" s="2"/>
      <c r="E43" s="4"/>
    </row>
    <row r="44" spans="1:5" x14ac:dyDescent="0.25">
      <c r="D44" s="2"/>
      <c r="E44" s="4"/>
    </row>
    <row r="45" spans="1:5" x14ac:dyDescent="0.25">
      <c r="D45" s="2"/>
      <c r="E45" s="4"/>
    </row>
    <row r="46" spans="1:5" x14ac:dyDescent="0.25">
      <c r="D46" s="2"/>
      <c r="E46" s="4"/>
    </row>
  </sheetData>
  <pageMargins left="0.75" right="0.75" top="1" bottom="1" header="0.5" footer="0.5"/>
  <pageSetup orientation="portrait" horizontalDpi="4294967292" verticalDpi="4294967292"/>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sheetPr>
  <dimension ref="A1:F24"/>
  <sheetViews>
    <sheetView workbookViewId="0">
      <selection activeCell="C27" sqref="C27"/>
    </sheetView>
  </sheetViews>
  <sheetFormatPr defaultColWidth="11" defaultRowHeight="15.75" x14ac:dyDescent="0.25"/>
  <cols>
    <col min="2" max="2" width="18.125" customWidth="1"/>
    <col min="3" max="3" width="20.5" customWidth="1"/>
    <col min="4" max="4" width="19" customWidth="1"/>
    <col min="6" max="6" width="21.625" customWidth="1"/>
  </cols>
  <sheetData>
    <row r="1" spans="1:6" x14ac:dyDescent="0.25">
      <c r="A1" s="24" t="s">
        <v>203</v>
      </c>
      <c r="B1" s="24"/>
      <c r="C1" s="25"/>
      <c r="D1" s="25"/>
      <c r="E1" s="25"/>
      <c r="F1" s="25"/>
    </row>
    <row r="2" spans="1:6" x14ac:dyDescent="0.25">
      <c r="A2" s="25"/>
      <c r="B2" s="25"/>
      <c r="C2" s="25"/>
      <c r="D2" s="25"/>
      <c r="E2" s="25"/>
      <c r="F2" s="25"/>
    </row>
    <row r="3" spans="1:6" x14ac:dyDescent="0.25">
      <c r="A3" s="25" t="s">
        <v>75</v>
      </c>
      <c r="B3" s="25" t="s">
        <v>76</v>
      </c>
      <c r="C3" s="25" t="s">
        <v>77</v>
      </c>
      <c r="D3" s="25" t="s">
        <v>78</v>
      </c>
      <c r="E3" s="25" t="s">
        <v>79</v>
      </c>
      <c r="F3" s="25" t="s">
        <v>80</v>
      </c>
    </row>
    <row r="4" spans="1:6" x14ac:dyDescent="0.25">
      <c r="A4" s="25" t="s">
        <v>81</v>
      </c>
      <c r="B4" s="25">
        <v>5.4600000000000003E-2</v>
      </c>
      <c r="C4" s="25">
        <v>5.5590000000000001E-2</v>
      </c>
      <c r="D4" s="25">
        <f>C4-B4</f>
        <v>9.8999999999999783E-4</v>
      </c>
      <c r="E4" s="25">
        <v>17</v>
      </c>
      <c r="F4" s="26">
        <f>D4/E4</f>
        <v>5.8235294117646932E-5</v>
      </c>
    </row>
    <row r="5" spans="1:6" x14ac:dyDescent="0.25">
      <c r="A5" s="25" t="s">
        <v>82</v>
      </c>
      <c r="B5" s="25">
        <v>4.9189999999999998E-2</v>
      </c>
      <c r="C5" s="25">
        <v>5.0119999999999998E-2</v>
      </c>
      <c r="D5" s="25">
        <f t="shared" ref="D5:D24" si="0">C5-B5</f>
        <v>9.3000000000000027E-4</v>
      </c>
      <c r="E5" s="25">
        <v>13</v>
      </c>
      <c r="F5" s="26">
        <f>D5/E5</f>
        <v>7.1538461538461561E-5</v>
      </c>
    </row>
    <row r="6" spans="1:6" x14ac:dyDescent="0.25">
      <c r="A6" s="25" t="s">
        <v>83</v>
      </c>
      <c r="B6" s="25">
        <v>5.1429999999999997E-2</v>
      </c>
      <c r="C6" s="25">
        <v>5.2569999999999999E-2</v>
      </c>
      <c r="D6" s="25">
        <f t="shared" si="0"/>
        <v>1.1400000000000021E-3</v>
      </c>
      <c r="E6" s="25">
        <v>15</v>
      </c>
      <c r="F6" s="26">
        <f t="shared" ref="F6:F24" si="1">D6/E6</f>
        <v>7.600000000000014E-5</v>
      </c>
    </row>
    <row r="7" spans="1:6" x14ac:dyDescent="0.25">
      <c r="A7" s="25" t="s">
        <v>84</v>
      </c>
      <c r="B7" s="25">
        <v>4.9390000000000003E-2</v>
      </c>
      <c r="C7" s="25">
        <v>5.0279999999999998E-2</v>
      </c>
      <c r="D7" s="25">
        <f t="shared" si="0"/>
        <v>8.8999999999999496E-4</v>
      </c>
      <c r="E7" s="25">
        <v>13</v>
      </c>
      <c r="F7" s="26">
        <f t="shared" si="1"/>
        <v>6.8461538461538074E-5</v>
      </c>
    </row>
    <row r="8" spans="1:6" x14ac:dyDescent="0.25">
      <c r="A8" s="25" t="s">
        <v>85</v>
      </c>
      <c r="B8" s="25">
        <v>4.7809999999999998E-2</v>
      </c>
      <c r="C8" s="25">
        <v>4.8959999999999997E-2</v>
      </c>
      <c r="D8" s="25">
        <f t="shared" si="0"/>
        <v>1.1499999999999982E-3</v>
      </c>
      <c r="E8" s="25">
        <v>14</v>
      </c>
      <c r="F8" s="26">
        <f t="shared" si="1"/>
        <v>8.2142857142857018E-5</v>
      </c>
    </row>
    <row r="9" spans="1:6" x14ac:dyDescent="0.25">
      <c r="A9" s="25" t="s">
        <v>86</v>
      </c>
      <c r="B9" s="25">
        <v>4.9169999999999998E-2</v>
      </c>
      <c r="C9" s="25">
        <v>5.0250000000000003E-2</v>
      </c>
      <c r="D9" s="25">
        <f t="shared" si="0"/>
        <v>1.0800000000000046E-3</v>
      </c>
      <c r="E9" s="25">
        <v>14</v>
      </c>
      <c r="F9" s="26">
        <f t="shared" si="1"/>
        <v>7.7142857142857465E-5</v>
      </c>
    </row>
    <row r="10" spans="1:6" x14ac:dyDescent="0.25">
      <c r="A10" s="25" t="s">
        <v>87</v>
      </c>
      <c r="B10" s="25">
        <v>5.008E-2</v>
      </c>
      <c r="C10" s="25">
        <v>5.1290000000000002E-2</v>
      </c>
      <c r="D10" s="25">
        <f t="shared" si="0"/>
        <v>1.2100000000000027E-3</v>
      </c>
      <c r="E10" s="25">
        <v>14</v>
      </c>
      <c r="F10" s="26">
        <f t="shared" si="1"/>
        <v>8.6428571428571622E-5</v>
      </c>
    </row>
    <row r="11" spans="1:6" x14ac:dyDescent="0.25">
      <c r="A11" s="25" t="s">
        <v>88</v>
      </c>
      <c r="B11" s="25">
        <v>4.4139999999999999E-2</v>
      </c>
      <c r="C11" s="25">
        <v>4.5190000000000001E-2</v>
      </c>
      <c r="D11" s="25">
        <f t="shared" si="0"/>
        <v>1.0500000000000023E-3</v>
      </c>
      <c r="E11" s="25">
        <v>14</v>
      </c>
      <c r="F11" s="26">
        <f t="shared" si="1"/>
        <v>7.500000000000017E-5</v>
      </c>
    </row>
    <row r="12" spans="1:6" x14ac:dyDescent="0.25">
      <c r="A12" s="25" t="s">
        <v>89</v>
      </c>
      <c r="B12" s="25">
        <v>6.8540000000000004E-2</v>
      </c>
      <c r="C12" s="25">
        <v>6.9459999999999994E-2</v>
      </c>
      <c r="D12" s="25">
        <f t="shared" si="0"/>
        <v>9.1999999999999027E-4</v>
      </c>
      <c r="E12" s="25">
        <v>16</v>
      </c>
      <c r="F12" s="26">
        <f t="shared" si="1"/>
        <v>5.7499999999999392E-5</v>
      </c>
    </row>
    <row r="13" spans="1:6" x14ac:dyDescent="0.25">
      <c r="A13" s="25" t="s">
        <v>177</v>
      </c>
      <c r="B13" s="25">
        <v>4.9880000000000001E-2</v>
      </c>
      <c r="C13" s="25">
        <v>5.1029999999999999E-2</v>
      </c>
      <c r="D13" s="25">
        <f t="shared" si="0"/>
        <v>1.1499999999999982E-3</v>
      </c>
      <c r="E13" s="25">
        <v>14</v>
      </c>
      <c r="F13" s="26">
        <f t="shared" si="1"/>
        <v>8.2142857142857018E-5</v>
      </c>
    </row>
    <row r="14" spans="1:6" x14ac:dyDescent="0.25">
      <c r="A14" s="25" t="s">
        <v>178</v>
      </c>
      <c r="B14" s="25">
        <v>4.8890000000000003E-2</v>
      </c>
      <c r="C14" s="25">
        <v>4.9849999999999998E-2</v>
      </c>
      <c r="D14" s="25">
        <f t="shared" si="0"/>
        <v>9.5999999999999558E-4</v>
      </c>
      <c r="E14" s="25">
        <v>14</v>
      </c>
      <c r="F14" s="26">
        <f t="shared" si="1"/>
        <v>6.8571428571428256E-5</v>
      </c>
    </row>
    <row r="15" spans="1:6" x14ac:dyDescent="0.25">
      <c r="A15" s="25" t="s">
        <v>179</v>
      </c>
      <c r="B15" s="25">
        <v>5.355E-2</v>
      </c>
      <c r="C15" s="25">
        <v>5.4760000000000003E-2</v>
      </c>
      <c r="D15" s="25">
        <f t="shared" si="0"/>
        <v>1.2100000000000027E-3</v>
      </c>
      <c r="E15" s="25">
        <v>13</v>
      </c>
      <c r="F15" s="26">
        <f t="shared" si="1"/>
        <v>9.307692307692329E-5</v>
      </c>
    </row>
    <row r="16" spans="1:6" x14ac:dyDescent="0.25">
      <c r="A16" s="25" t="s">
        <v>90</v>
      </c>
      <c r="B16" s="25">
        <v>5.2400000000000002E-2</v>
      </c>
      <c r="C16" s="25">
        <v>5.3350000000000002E-2</v>
      </c>
      <c r="D16" s="25">
        <f t="shared" si="0"/>
        <v>9.4999999999999946E-4</v>
      </c>
      <c r="E16" s="25">
        <v>15</v>
      </c>
      <c r="F16" s="26">
        <f t="shared" si="1"/>
        <v>6.3333333333333292E-5</v>
      </c>
    </row>
    <row r="17" spans="1:6" x14ac:dyDescent="0.25">
      <c r="A17" s="25" t="s">
        <v>91</v>
      </c>
      <c r="B17" s="25">
        <v>6.1890000000000001E-2</v>
      </c>
      <c r="C17" s="25">
        <v>6.2729999999999994E-2</v>
      </c>
      <c r="D17" s="25">
        <f t="shared" si="0"/>
        <v>8.3999999999999353E-4</v>
      </c>
      <c r="E17" s="25">
        <v>13</v>
      </c>
      <c r="F17" s="26">
        <f t="shared" si="1"/>
        <v>6.4615384615384115E-5</v>
      </c>
    </row>
    <row r="18" spans="1:6" x14ac:dyDescent="0.25">
      <c r="A18" s="25" t="s">
        <v>92</v>
      </c>
      <c r="B18" s="25">
        <v>5.237E-2</v>
      </c>
      <c r="C18" s="25">
        <v>5.3429999999999998E-2</v>
      </c>
      <c r="D18" s="25">
        <f t="shared" si="0"/>
        <v>1.0599999999999984E-3</v>
      </c>
      <c r="E18" s="25">
        <v>14</v>
      </c>
      <c r="F18" s="26">
        <f t="shared" si="1"/>
        <v>7.5714285714285605E-5</v>
      </c>
    </row>
    <row r="19" spans="1:6" x14ac:dyDescent="0.25">
      <c r="A19" s="25" t="s">
        <v>93</v>
      </c>
      <c r="B19" s="25">
        <v>7.3690000000000005E-2</v>
      </c>
      <c r="C19" s="25">
        <v>7.4749999999999997E-2</v>
      </c>
      <c r="D19" s="25">
        <f t="shared" si="0"/>
        <v>1.0599999999999915E-3</v>
      </c>
      <c r="E19" s="25">
        <v>14</v>
      </c>
      <c r="F19" s="26">
        <f t="shared" si="1"/>
        <v>7.5714285714285104E-5</v>
      </c>
    </row>
    <row r="20" spans="1:6" x14ac:dyDescent="0.25">
      <c r="A20" s="25" t="s">
        <v>94</v>
      </c>
      <c r="B20" s="25">
        <v>6.2129999999999998E-2</v>
      </c>
      <c r="C20" s="25">
        <v>6.3320000000000001E-2</v>
      </c>
      <c r="D20" s="25">
        <f t="shared" si="0"/>
        <v>1.1900000000000036E-3</v>
      </c>
      <c r="E20" s="25">
        <v>14</v>
      </c>
      <c r="F20" s="26">
        <f t="shared" si="1"/>
        <v>8.500000000000025E-5</v>
      </c>
    </row>
    <row r="21" spans="1:6" x14ac:dyDescent="0.25">
      <c r="A21" s="25" t="s">
        <v>95</v>
      </c>
      <c r="B21" s="25">
        <v>5.5879999999999999E-2</v>
      </c>
      <c r="C21" s="25">
        <v>5.706E-2</v>
      </c>
      <c r="D21" s="25">
        <f t="shared" si="0"/>
        <v>1.1800000000000005E-3</v>
      </c>
      <c r="E21" s="25">
        <v>17</v>
      </c>
      <c r="F21" s="26">
        <f t="shared" si="1"/>
        <v>6.9411764705882388E-5</v>
      </c>
    </row>
    <row r="22" spans="1:6" x14ac:dyDescent="0.25">
      <c r="A22" s="25" t="s">
        <v>99</v>
      </c>
      <c r="B22" s="25">
        <v>5.4989999999999997E-2</v>
      </c>
      <c r="C22" s="25">
        <v>5.6090000000000001E-2</v>
      </c>
      <c r="D22" s="25">
        <f t="shared" si="0"/>
        <v>1.1000000000000038E-3</v>
      </c>
      <c r="E22" s="25">
        <v>15</v>
      </c>
      <c r="F22" s="26">
        <f t="shared" si="1"/>
        <v>7.3333333333333589E-5</v>
      </c>
    </row>
    <row r="23" spans="1:6" x14ac:dyDescent="0.25">
      <c r="A23" s="25" t="s">
        <v>100</v>
      </c>
      <c r="B23" s="25">
        <v>4.4490000000000002E-2</v>
      </c>
      <c r="C23" s="25">
        <v>4.5339999999999998E-2</v>
      </c>
      <c r="D23" s="25">
        <f t="shared" si="0"/>
        <v>8.4999999999999659E-4</v>
      </c>
      <c r="E23" s="25">
        <v>14</v>
      </c>
      <c r="F23" s="26">
        <f t="shared" si="1"/>
        <v>6.0714285714285471E-5</v>
      </c>
    </row>
    <row r="24" spans="1:6" x14ac:dyDescent="0.25">
      <c r="A24" s="25" t="s">
        <v>101</v>
      </c>
      <c r="B24" s="25">
        <v>4.9239999999999999E-2</v>
      </c>
      <c r="C24" s="25">
        <v>5.0029999999999998E-2</v>
      </c>
      <c r="D24" s="25">
        <f t="shared" si="0"/>
        <v>7.8999999999999904E-4</v>
      </c>
      <c r="E24" s="25">
        <v>14</v>
      </c>
      <c r="F24" s="26">
        <f t="shared" si="1"/>
        <v>5.6428571428571361E-5</v>
      </c>
    </row>
  </sheetData>
  <pageMargins left="0.75" right="0.7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sheetPr>
  <dimension ref="A1:O52"/>
  <sheetViews>
    <sheetView workbookViewId="0">
      <selection activeCell="C27" sqref="C27"/>
    </sheetView>
  </sheetViews>
  <sheetFormatPr defaultColWidth="11" defaultRowHeight="15.75" x14ac:dyDescent="0.25"/>
  <cols>
    <col min="1" max="1" width="13.875" customWidth="1"/>
    <col min="2" max="2" width="24.375" customWidth="1"/>
    <col min="5" max="5" width="15.625" customWidth="1"/>
  </cols>
  <sheetData>
    <row r="1" spans="1:10" x14ac:dyDescent="0.25">
      <c r="D1" t="s">
        <v>102</v>
      </c>
      <c r="E1">
        <v>17</v>
      </c>
    </row>
    <row r="3" spans="1:10" x14ac:dyDescent="0.25">
      <c r="A3" t="s">
        <v>75</v>
      </c>
      <c r="B3" t="s">
        <v>103</v>
      </c>
      <c r="C3" t="s">
        <v>104</v>
      </c>
      <c r="D3" t="s">
        <v>105</v>
      </c>
      <c r="E3" t="s">
        <v>106</v>
      </c>
    </row>
    <row r="4" spans="1:10" x14ac:dyDescent="0.25">
      <c r="A4" t="s">
        <v>108</v>
      </c>
      <c r="B4">
        <v>7</v>
      </c>
      <c r="D4">
        <v>0</v>
      </c>
      <c r="E4">
        <v>0</v>
      </c>
      <c r="G4">
        <v>0</v>
      </c>
    </row>
    <row r="5" spans="1:10" x14ac:dyDescent="0.25">
      <c r="A5" t="s">
        <v>109</v>
      </c>
      <c r="B5">
        <v>5</v>
      </c>
      <c r="D5">
        <v>0</v>
      </c>
      <c r="E5">
        <v>0</v>
      </c>
      <c r="G5">
        <v>0</v>
      </c>
    </row>
    <row r="6" spans="1:10" x14ac:dyDescent="0.25">
      <c r="A6" t="s">
        <v>81</v>
      </c>
      <c r="B6">
        <v>779</v>
      </c>
      <c r="C6" s="4">
        <f>(B6*391)/(2220000*49.2)*1000/'Esc Masses 0.2 28'!D4</f>
        <v>2816.8319834986564</v>
      </c>
      <c r="D6" s="5">
        <f>(B6*391)/(2220000*10.9)*1000/'Esc Masses 0.2 28'!E4</f>
        <v>0.7404330936441027</v>
      </c>
      <c r="E6" s="4">
        <f>AVERAGE(C6:C8)</f>
        <v>2283.7829567519325</v>
      </c>
      <c r="F6" s="27">
        <f>STDEV(C6:C8)/E6</f>
        <v>0.26748110464054936</v>
      </c>
      <c r="G6">
        <v>3</v>
      </c>
      <c r="I6" t="s">
        <v>110</v>
      </c>
      <c r="J6" t="s">
        <v>106</v>
      </c>
    </row>
    <row r="7" spans="1:10" x14ac:dyDescent="0.25">
      <c r="A7" t="s">
        <v>82</v>
      </c>
      <c r="B7">
        <v>628</v>
      </c>
      <c r="C7" s="4">
        <f>(B7*391)/(2220000*49.2)*1000/'Esc Masses 0.2 28'!D5</f>
        <v>2417.3268469098516</v>
      </c>
      <c r="D7" s="5">
        <f>(B7*391)/(2220000*10.9)*1000/'Esc Masses 0.2 28'!E5</f>
        <v>0.78057309249969797</v>
      </c>
      <c r="G7">
        <v>3</v>
      </c>
      <c r="I7">
        <v>3</v>
      </c>
    </row>
    <row r="8" spans="1:10" x14ac:dyDescent="0.25">
      <c r="A8" t="s">
        <v>83</v>
      </c>
      <c r="B8">
        <v>515</v>
      </c>
      <c r="C8" s="4">
        <f>(B8*391)/(2220000*49.2)*1000/'Esc Masses 0.2 28'!D6</f>
        <v>1617.1900398472899</v>
      </c>
      <c r="D8" s="5">
        <f>(B8*391)/(2220000*10.9)*1000/'Esc Masses 0.2 28'!E6</f>
        <v>0.55477036669697233</v>
      </c>
      <c r="G8">
        <v>3</v>
      </c>
      <c r="I8">
        <v>6</v>
      </c>
    </row>
    <row r="9" spans="1:10" x14ac:dyDescent="0.25">
      <c r="A9" t="s">
        <v>84</v>
      </c>
      <c r="B9">
        <v>621</v>
      </c>
      <c r="C9" s="4">
        <f>(B9*391)/(2220000*49.2)*1000/'Esc Masses 0.2 28'!D7</f>
        <v>2497.8150252198075</v>
      </c>
      <c r="D9" s="5">
        <f>(B9*391)/(2220000*10.9)*1000/'Esc Masses 0.2 28'!E7</f>
        <v>0.77187243701005159</v>
      </c>
      <c r="E9" s="4">
        <f>AVERAGE(C9:C11)</f>
        <v>2496.4142557750174</v>
      </c>
      <c r="F9" s="27">
        <f>STDEV(C9:C11)/E9</f>
        <v>0.14995639476488187</v>
      </c>
      <c r="G9">
        <v>6</v>
      </c>
      <c r="I9">
        <v>12</v>
      </c>
    </row>
    <row r="10" spans="1:10" x14ac:dyDescent="0.25">
      <c r="A10" t="s">
        <v>85</v>
      </c>
      <c r="B10">
        <v>922</v>
      </c>
      <c r="C10" s="4">
        <f>(B10*391)/(2220000*49.2)*1000/'Esc Masses 0.2 28'!D8</f>
        <v>2870.065187138362</v>
      </c>
      <c r="D10" s="5">
        <f>(B10*391)/(2220000*10.9)*1000/'Esc Masses 0.2 28'!E8</f>
        <v>1.0641434357030688</v>
      </c>
      <c r="G10">
        <v>6</v>
      </c>
      <c r="I10">
        <v>16</v>
      </c>
    </row>
    <row r="11" spans="1:10" x14ac:dyDescent="0.25">
      <c r="A11" t="s">
        <v>86</v>
      </c>
      <c r="B11">
        <v>640</v>
      </c>
      <c r="C11" s="4">
        <f>(B11*391)/(2220000*49.2)*1000/'Esc Masses 0.2 28'!D9</f>
        <v>2121.3625549668823</v>
      </c>
      <c r="D11" s="5">
        <f>(B11*391)/(2220000*10.9)*1000/'Esc Masses 0.2 28'!E9</f>
        <v>0.73866789463119731</v>
      </c>
      <c r="G11">
        <v>6</v>
      </c>
      <c r="I11">
        <v>24</v>
      </c>
    </row>
    <row r="12" spans="1:10" x14ac:dyDescent="0.25">
      <c r="A12" t="s">
        <v>87</v>
      </c>
      <c r="B12">
        <v>661</v>
      </c>
      <c r="C12" s="4">
        <f>(B12*391)/(2220000*49.2)*1000/'Esc Masses 0.2 28'!D10</f>
        <v>1955.5763181040295</v>
      </c>
      <c r="D12" s="5">
        <f>(B12*391)/(2220000*10.9)*1000/'Esc Masses 0.2 28'!E10</f>
        <v>0.76290543492378371</v>
      </c>
      <c r="E12" s="4">
        <f>AVERAGE(C12:C14)</f>
        <v>2531.5375222988</v>
      </c>
      <c r="F12" s="27">
        <f>STDEV(C12:C14)/E12</f>
        <v>0.19780954297685213</v>
      </c>
      <c r="G12">
        <v>12</v>
      </c>
      <c r="I12">
        <v>36</v>
      </c>
    </row>
    <row r="13" spans="1:10" x14ac:dyDescent="0.25">
      <c r="A13" t="s">
        <v>88</v>
      </c>
      <c r="B13">
        <v>814</v>
      </c>
      <c r="C13" s="4">
        <f>(B13*391)/(2220000*49.2)*1000/'Esc Masses 0.2 28'!D11</f>
        <v>2775.1967995870373</v>
      </c>
      <c r="D13" s="5">
        <f>(B13*391)/(2220000*10.9)*1000/'Esc Masses 0.2 28'!E11</f>
        <v>0.93949322848405425</v>
      </c>
      <c r="G13">
        <v>12</v>
      </c>
    </row>
    <row r="14" spans="1:10" x14ac:dyDescent="0.25">
      <c r="A14" t="s">
        <v>89</v>
      </c>
      <c r="B14">
        <v>736</v>
      </c>
      <c r="C14" s="4">
        <f>(B14*391)/(2220000*49.2)*1000/'Esc Masses 0.2 28'!D12</f>
        <v>2863.839449205333</v>
      </c>
      <c r="D14" s="5">
        <f>(B14*391)/(2220000*10.9)*1000/'Esc Masses 0.2 28'!E12</f>
        <v>0.74328456897264239</v>
      </c>
      <c r="G14">
        <v>12</v>
      </c>
    </row>
    <row r="15" spans="1:10" x14ac:dyDescent="0.25">
      <c r="A15" t="s">
        <v>177</v>
      </c>
      <c r="B15">
        <v>559</v>
      </c>
      <c r="C15" s="4">
        <f>(B15*391)/(2220000*49.2)*1000/'Esc Masses 0.2 28'!D13</f>
        <v>1740.0937522888769</v>
      </c>
      <c r="D15" s="5">
        <f>(B15*391)/(2220000*10.9)*1000/'Esc Masses 0.2 28'!E13</f>
        <v>0.64518023921693646</v>
      </c>
      <c r="E15" s="4">
        <f>AVERAGE(C15:C17)</f>
        <v>2654.1329489638829</v>
      </c>
      <c r="F15" s="27">
        <f>STDEV(C15:C17)/E15</f>
        <v>0.32751171784317068</v>
      </c>
      <c r="G15">
        <v>16</v>
      </c>
    </row>
    <row r="16" spans="1:10" x14ac:dyDescent="0.25">
      <c r="A16" t="s">
        <v>178</v>
      </c>
      <c r="B16">
        <v>738</v>
      </c>
      <c r="C16" s="4">
        <f>(B16*391)/(2220000*49.2)*1000/'Esc Masses 0.2 28'!D14</f>
        <v>2751.970720720733</v>
      </c>
      <c r="D16" s="5">
        <f>(B16*391)/(2220000*10.9)*1000/'Esc Masses 0.2 28'!E14</f>
        <v>0.85177641599659959</v>
      </c>
      <c r="G16">
        <v>16</v>
      </c>
    </row>
    <row r="17" spans="1:15" x14ac:dyDescent="0.25">
      <c r="A17" t="s">
        <v>179</v>
      </c>
      <c r="B17">
        <v>1173</v>
      </c>
      <c r="C17" s="4">
        <f>(B17*391)/(2220000*49.2)*1000/'Esc Masses 0.2 28'!D15</f>
        <v>3470.3343738820381</v>
      </c>
      <c r="D17" s="5">
        <f>(B17*391)/(2220000*10.9)*1000/'Esc Masses 0.2 28'!E15</f>
        <v>1.4579812699078756</v>
      </c>
      <c r="G17">
        <v>16</v>
      </c>
    </row>
    <row r="18" spans="1:15" x14ac:dyDescent="0.25">
      <c r="A18" t="s">
        <v>90</v>
      </c>
      <c r="B18">
        <v>839</v>
      </c>
      <c r="C18" s="4">
        <f>(B18*391)/(2220000*49.2)*1000/'Esc Masses 0.2 28'!D16</f>
        <v>3161.5280235305927</v>
      </c>
      <c r="D18" s="5">
        <f>(B18*391)/(2220000*10.9)*1000/'Esc Masses 0.2 28'!E16</f>
        <v>0.903790946910213</v>
      </c>
      <c r="E18" s="4">
        <f>AVERAGE(C18:C20)</f>
        <v>3667.1819412855853</v>
      </c>
      <c r="F18" s="27">
        <f>STDEV(C18:C20)/E18</f>
        <v>0.15265201158670827</v>
      </c>
      <c r="G18">
        <v>24</v>
      </c>
    </row>
    <row r="19" spans="1:15" x14ac:dyDescent="0.25">
      <c r="A19" t="s">
        <v>91</v>
      </c>
      <c r="B19">
        <v>838</v>
      </c>
      <c r="C19" s="4">
        <f>(B19*391)/(2220000*49.2)*1000/'Esc Masses 0.2 28'!D17</f>
        <v>3571.2759798125926</v>
      </c>
      <c r="D19" s="5">
        <f>(B19*391)/(2220000*10.9)*1000/'Esc Masses 0.2 28'!E17</f>
        <v>1.0415927571890875</v>
      </c>
      <c r="G19">
        <v>24</v>
      </c>
    </row>
    <row r="20" spans="1:15" x14ac:dyDescent="0.25">
      <c r="A20" t="s">
        <v>92</v>
      </c>
      <c r="B20">
        <v>1264</v>
      </c>
      <c r="C20" s="4">
        <f>(B20*391)/(2220000*49.2)*1000/'Esc Masses 0.2 28'!D18</f>
        <v>4268.74182051357</v>
      </c>
      <c r="D20" s="5">
        <f>(B20*391)/(2220000*10.9)*1000/'Esc Masses 0.2 28'!E18</f>
        <v>1.458869091896615</v>
      </c>
      <c r="G20">
        <v>24</v>
      </c>
    </row>
    <row r="21" spans="1:15" x14ac:dyDescent="0.25">
      <c r="A21" t="s">
        <v>93</v>
      </c>
      <c r="B21">
        <v>722</v>
      </c>
      <c r="C21" s="4">
        <f>(B21*391)/(2220000*49.2)*1000/'Esc Masses 0.2 28'!D19</f>
        <v>2438.3161348186854</v>
      </c>
      <c r="D21" s="5">
        <f>(B21*391)/(2220000*10.9)*1000/'Esc Masses 0.2 28'!E19</f>
        <v>0.83330971863081948</v>
      </c>
      <c r="E21" s="4">
        <f>AVERAGE(C21:C23)</f>
        <v>3455.7951690499081</v>
      </c>
      <c r="F21" s="27">
        <f>STDEV(C21:C23)/E21</f>
        <v>0.26547414512916895</v>
      </c>
      <c r="G21">
        <v>36</v>
      </c>
      <c r="H21">
        <v>74</v>
      </c>
    </row>
    <row r="22" spans="1:15" x14ac:dyDescent="0.25">
      <c r="A22" t="s">
        <v>94</v>
      </c>
      <c r="B22">
        <v>1233</v>
      </c>
      <c r="C22" s="4">
        <f>(B22*391)/(2220000*49.2)*1000/'Esc Masses 0.2 28'!D20</f>
        <v>3709.1534042753442</v>
      </c>
      <c r="D22" s="5">
        <f>(B22*391)/(2220000*10.9)*1000/'Esc Masses 0.2 28'!E20</f>
        <v>1.4230898657504163</v>
      </c>
      <c r="G22">
        <v>36</v>
      </c>
    </row>
    <row r="23" spans="1:15" x14ac:dyDescent="0.25">
      <c r="A23" t="s">
        <v>95</v>
      </c>
      <c r="B23">
        <v>1391</v>
      </c>
      <c r="C23" s="4">
        <f>(B23*391)/(2220000*49.2)*1000/'Esc Masses 0.2 28'!D21</f>
        <v>4219.9159680556932</v>
      </c>
      <c r="D23" s="5">
        <f>(B23*391)/(2220000*10.9)*1000/'Esc Masses 0.2 28'!E21</f>
        <v>1.3221340606661709</v>
      </c>
      <c r="G23">
        <v>36</v>
      </c>
    </row>
    <row r="24" spans="1:15" x14ac:dyDescent="0.25">
      <c r="A24" t="s">
        <v>99</v>
      </c>
      <c r="B24">
        <v>8</v>
      </c>
      <c r="C24" s="4">
        <f>(B24*391)/(2220000*49.2)*1000/'Esc Masses 0.2 28'!D22</f>
        <v>26.034904083684484</v>
      </c>
      <c r="D24" s="5">
        <f>(B24*391)/(2220000*10.9)*1000/'Esc Masses 0.2 28'!E22</f>
        <v>8.6177921040306357E-3</v>
      </c>
      <c r="E24" s="4">
        <f>AVERAGE(C24:C25)</f>
        <v>25.652037847159804</v>
      </c>
      <c r="F24" s="27">
        <f>STDEV(C24:C26)/E24</f>
        <v>6.9042804854463888E-2</v>
      </c>
    </row>
    <row r="25" spans="1:15" x14ac:dyDescent="0.25">
      <c r="A25" t="s">
        <v>100</v>
      </c>
      <c r="B25">
        <v>6</v>
      </c>
      <c r="C25" s="4">
        <f>(B25*391)/(2220000*49.2)*1000/'Esc Masses 0.2 28'!D23</f>
        <v>25.269171610635127</v>
      </c>
      <c r="D25" s="5">
        <f>(B25*391)/(2220000*10.9)*1000/'Esc Masses 0.2 28'!E23</f>
        <v>6.925011512167476E-3</v>
      </c>
    </row>
    <row r="26" spans="1:15" x14ac:dyDescent="0.25">
      <c r="A26" t="s">
        <v>101</v>
      </c>
      <c r="B26">
        <v>5</v>
      </c>
      <c r="C26" s="4">
        <f>(B26*391)/(2220000*49.2)*1000/'Esc Masses 0.2 28'!D24</f>
        <v>22.656957667763503</v>
      </c>
      <c r="D26" s="5">
        <f>(B26*391)/(2220000*10.9)*1000/'Esc Masses 0.2 28'!E24</f>
        <v>5.770842926806229E-3</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0</v>
      </c>
      <c r="C32">
        <v>2</v>
      </c>
      <c r="D32">
        <v>2</v>
      </c>
      <c r="E32">
        <v>0</v>
      </c>
      <c r="F32">
        <v>0</v>
      </c>
      <c r="G32" s="28">
        <f t="shared" ref="G32:G38" si="0">(E32)/(SUM(B32+C32+D32+E32+F32))</f>
        <v>0</v>
      </c>
      <c r="I32" t="s">
        <v>102</v>
      </c>
      <c r="J32">
        <v>20</v>
      </c>
      <c r="L32">
        <v>0</v>
      </c>
      <c r="M32">
        <v>0</v>
      </c>
      <c r="N32">
        <v>0</v>
      </c>
      <c r="O32">
        <v>0</v>
      </c>
    </row>
    <row r="33" spans="1:15" x14ac:dyDescent="0.25">
      <c r="A33" t="s">
        <v>123</v>
      </c>
      <c r="B33">
        <v>159</v>
      </c>
      <c r="C33">
        <v>21</v>
      </c>
      <c r="D33">
        <v>109</v>
      </c>
      <c r="E33">
        <v>463</v>
      </c>
      <c r="F33">
        <v>3</v>
      </c>
      <c r="G33" s="28">
        <f t="shared" si="0"/>
        <v>0.61324503311258283</v>
      </c>
      <c r="L33">
        <v>0</v>
      </c>
      <c r="M33">
        <v>0</v>
      </c>
      <c r="N33">
        <v>0</v>
      </c>
      <c r="O33">
        <v>0</v>
      </c>
    </row>
    <row r="34" spans="1:15" x14ac:dyDescent="0.25">
      <c r="A34" t="s">
        <v>124</v>
      </c>
      <c r="B34">
        <v>337</v>
      </c>
      <c r="C34">
        <v>46</v>
      </c>
      <c r="D34">
        <v>116</v>
      </c>
      <c r="E34">
        <v>480</v>
      </c>
      <c r="F34">
        <v>3</v>
      </c>
      <c r="G34" s="28">
        <f t="shared" si="0"/>
        <v>0.48879837067209775</v>
      </c>
      <c r="L34">
        <v>0</v>
      </c>
      <c r="M34">
        <v>0</v>
      </c>
      <c r="N34">
        <v>0</v>
      </c>
      <c r="O34">
        <v>0</v>
      </c>
    </row>
    <row r="35" spans="1:15" x14ac:dyDescent="0.25">
      <c r="A35" t="s">
        <v>125</v>
      </c>
      <c r="B35">
        <v>376</v>
      </c>
      <c r="C35">
        <v>65</v>
      </c>
      <c r="D35">
        <v>91</v>
      </c>
      <c r="E35">
        <v>251</v>
      </c>
      <c r="F35">
        <v>4</v>
      </c>
      <c r="G35" s="28">
        <f t="shared" si="0"/>
        <v>0.31893265565438372</v>
      </c>
      <c r="L35">
        <v>3</v>
      </c>
      <c r="M35" s="4">
        <v>2816.8319834986564</v>
      </c>
      <c r="N35" s="4">
        <f>M35*0.61</f>
        <v>1718.2675099341805</v>
      </c>
      <c r="O35" s="4">
        <f>M35-N35</f>
        <v>1098.564473564476</v>
      </c>
    </row>
    <row r="36" spans="1:15" x14ac:dyDescent="0.25">
      <c r="A36" t="s">
        <v>180</v>
      </c>
      <c r="B36">
        <v>526</v>
      </c>
      <c r="C36">
        <v>89</v>
      </c>
      <c r="D36">
        <v>116</v>
      </c>
      <c r="E36">
        <v>335</v>
      </c>
      <c r="F36">
        <v>4</v>
      </c>
      <c r="G36" s="28">
        <f t="shared" si="0"/>
        <v>0.31308411214953269</v>
      </c>
      <c r="L36">
        <v>3</v>
      </c>
      <c r="M36" s="4">
        <v>2417.3268469098516</v>
      </c>
      <c r="N36" s="4">
        <f t="shared" ref="N36:N37" si="1">M36*0.61</f>
        <v>1474.5693766150096</v>
      </c>
      <c r="O36" s="4">
        <f t="shared" ref="O36:O52" si="2">M36-N36</f>
        <v>942.75747029484205</v>
      </c>
    </row>
    <row r="37" spans="1:15" x14ac:dyDescent="0.25">
      <c r="A37" t="s">
        <v>126</v>
      </c>
      <c r="B37">
        <v>854</v>
      </c>
      <c r="C37">
        <v>157</v>
      </c>
      <c r="D37">
        <v>138</v>
      </c>
      <c r="E37">
        <v>250</v>
      </c>
      <c r="F37">
        <v>2</v>
      </c>
      <c r="G37" s="28">
        <f t="shared" si="0"/>
        <v>0.17844396859386152</v>
      </c>
      <c r="L37">
        <v>3</v>
      </c>
      <c r="M37" s="4">
        <v>1617.1900398472899</v>
      </c>
      <c r="N37" s="4">
        <f t="shared" si="1"/>
        <v>986.48592430684675</v>
      </c>
      <c r="O37" s="4">
        <f t="shared" si="2"/>
        <v>630.70411554044313</v>
      </c>
    </row>
    <row r="38" spans="1:15" x14ac:dyDescent="0.25">
      <c r="A38" t="s">
        <v>127</v>
      </c>
      <c r="B38">
        <v>1358</v>
      </c>
      <c r="C38">
        <v>263</v>
      </c>
      <c r="D38">
        <v>186</v>
      </c>
      <c r="E38">
        <v>236</v>
      </c>
      <c r="F38">
        <v>2</v>
      </c>
      <c r="G38" s="28">
        <f t="shared" si="0"/>
        <v>0.11540342298288508</v>
      </c>
      <c r="L38">
        <v>6</v>
      </c>
      <c r="M38" s="4">
        <v>2497.8150252198075</v>
      </c>
      <c r="N38" s="4">
        <f>M38*0.49</f>
        <v>1223.9293623577057</v>
      </c>
      <c r="O38" s="4">
        <f t="shared" si="2"/>
        <v>1273.8856628621018</v>
      </c>
    </row>
    <row r="39" spans="1:15" x14ac:dyDescent="0.25">
      <c r="L39">
        <v>6</v>
      </c>
      <c r="M39" s="4">
        <v>2870.065187138362</v>
      </c>
      <c r="N39" s="4">
        <f t="shared" ref="N39:N40" si="3">M39*0.49</f>
        <v>1406.3319416977974</v>
      </c>
      <c r="O39" s="4">
        <f t="shared" si="2"/>
        <v>1463.7332454405646</v>
      </c>
    </row>
    <row r="40" spans="1:15" x14ac:dyDescent="0.25">
      <c r="L40">
        <v>6</v>
      </c>
      <c r="M40" s="4">
        <v>2121.3625549668823</v>
      </c>
      <c r="N40" s="4">
        <f t="shared" si="3"/>
        <v>1039.4676519337722</v>
      </c>
      <c r="O40" s="4">
        <f t="shared" si="2"/>
        <v>1081.89490303311</v>
      </c>
    </row>
    <row r="41" spans="1:15" x14ac:dyDescent="0.25">
      <c r="L41">
        <v>12</v>
      </c>
      <c r="M41" s="4">
        <v>1955.5763181040295</v>
      </c>
      <c r="N41" s="4">
        <f>M41*0.32</f>
        <v>625.78442179328943</v>
      </c>
      <c r="O41" s="4">
        <f t="shared" si="2"/>
        <v>1329.79189631074</v>
      </c>
    </row>
    <row r="42" spans="1:15" x14ac:dyDescent="0.25">
      <c r="L42">
        <v>12</v>
      </c>
      <c r="M42" s="4">
        <v>2775.1967995870373</v>
      </c>
      <c r="N42" s="4">
        <f t="shared" ref="N42:N43" si="4">M42*0.32</f>
        <v>888.06297586785195</v>
      </c>
      <c r="O42" s="4">
        <f t="shared" si="2"/>
        <v>1887.1338237191853</v>
      </c>
    </row>
    <row r="43" spans="1:15" x14ac:dyDescent="0.25">
      <c r="L43">
        <v>12</v>
      </c>
      <c r="M43" s="4">
        <v>2863.839449205333</v>
      </c>
      <c r="N43" s="4">
        <f t="shared" si="4"/>
        <v>916.42862374570655</v>
      </c>
      <c r="O43" s="4">
        <f t="shared" si="2"/>
        <v>1947.4108254596265</v>
      </c>
    </row>
    <row r="44" spans="1:15" x14ac:dyDescent="0.25">
      <c r="L44">
        <v>16</v>
      </c>
      <c r="M44" s="4">
        <v>1740.0937522888769</v>
      </c>
      <c r="N44" s="4">
        <f>M44*0.31</f>
        <v>539.42906320955183</v>
      </c>
      <c r="O44" s="4">
        <f t="shared" si="2"/>
        <v>1200.6646890793249</v>
      </c>
    </row>
    <row r="45" spans="1:15" x14ac:dyDescent="0.25">
      <c r="L45">
        <v>16</v>
      </c>
      <c r="M45" s="4">
        <v>2751.970720720733</v>
      </c>
      <c r="N45" s="4">
        <f t="shared" ref="N45:N46" si="5">M45*0.31</f>
        <v>853.11092342342727</v>
      </c>
      <c r="O45" s="4">
        <f t="shared" si="2"/>
        <v>1898.8597972973057</v>
      </c>
    </row>
    <row r="46" spans="1:15" x14ac:dyDescent="0.25">
      <c r="L46">
        <v>16</v>
      </c>
      <c r="M46" s="4">
        <v>3470.3343738820381</v>
      </c>
      <c r="N46" s="4">
        <f t="shared" si="5"/>
        <v>1075.8036559034317</v>
      </c>
      <c r="O46" s="4">
        <f>M46-N46</f>
        <v>2394.5307179786064</v>
      </c>
    </row>
    <row r="47" spans="1:15" x14ac:dyDescent="0.25">
      <c r="L47">
        <v>24</v>
      </c>
      <c r="M47" s="4">
        <v>3161.5280235305927</v>
      </c>
      <c r="N47" s="4">
        <f>M47*0.18</f>
        <v>569.07504423550665</v>
      </c>
      <c r="O47" s="4">
        <f t="shared" si="2"/>
        <v>2592.4529792950862</v>
      </c>
    </row>
    <row r="48" spans="1:15" x14ac:dyDescent="0.25">
      <c r="L48">
        <v>24</v>
      </c>
      <c r="M48" s="4">
        <v>3571.2759798125926</v>
      </c>
      <c r="N48" s="4">
        <f t="shared" ref="N48:N49" si="6">M48*0.18</f>
        <v>642.82967636626665</v>
      </c>
      <c r="O48" s="4">
        <f t="shared" si="2"/>
        <v>2928.4463034463261</v>
      </c>
    </row>
    <row r="49" spans="12:15" x14ac:dyDescent="0.25">
      <c r="L49">
        <v>24</v>
      </c>
      <c r="M49" s="4">
        <v>4268.74182051357</v>
      </c>
      <c r="N49" s="4">
        <f t="shared" si="6"/>
        <v>768.37352769244262</v>
      </c>
      <c r="O49" s="4">
        <f t="shared" si="2"/>
        <v>3500.3682928211274</v>
      </c>
    </row>
    <row r="50" spans="12:15" x14ac:dyDescent="0.25">
      <c r="L50">
        <v>36</v>
      </c>
      <c r="M50" s="4">
        <v>2438.3161348186854</v>
      </c>
      <c r="N50" s="4">
        <f>M50*0.12</f>
        <v>292.59793617824226</v>
      </c>
      <c r="O50" s="4">
        <f t="shared" si="2"/>
        <v>2145.718198640443</v>
      </c>
    </row>
    <row r="51" spans="12:15" x14ac:dyDescent="0.25">
      <c r="L51">
        <v>36</v>
      </c>
      <c r="M51" s="4">
        <v>3709.1534042753442</v>
      </c>
      <c r="N51" s="4">
        <f t="shared" ref="N51:N52" si="7">M51*0.12</f>
        <v>445.09840851304131</v>
      </c>
      <c r="O51" s="4">
        <f t="shared" si="2"/>
        <v>3264.054995762303</v>
      </c>
    </row>
    <row r="52" spans="12:15" x14ac:dyDescent="0.25">
      <c r="L52">
        <v>36</v>
      </c>
      <c r="M52" s="4">
        <v>4219.9159680556932</v>
      </c>
      <c r="N52" s="4">
        <f t="shared" si="7"/>
        <v>506.38991616668318</v>
      </c>
      <c r="O52" s="4">
        <f t="shared" si="2"/>
        <v>3713.52605188901</v>
      </c>
    </row>
  </sheetData>
  <pageMargins left="0.75" right="0.75" top="1" bottom="1" header="0.5" footer="0.5"/>
  <pageSetup orientation="portrait" horizontalDpi="4294967292" verticalDpi="4294967292"/>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sheetPr>
  <dimension ref="A1:O44"/>
  <sheetViews>
    <sheetView topLeftCell="A5" workbookViewId="0">
      <selection activeCell="C27" sqref="C27"/>
    </sheetView>
  </sheetViews>
  <sheetFormatPr defaultColWidth="11" defaultRowHeight="15.75" x14ac:dyDescent="0.25"/>
  <cols>
    <col min="2" max="2" width="23.375" customWidth="1"/>
    <col min="6" max="6" width="14.125" customWidth="1"/>
  </cols>
  <sheetData>
    <row r="1" spans="1:10" x14ac:dyDescent="0.25">
      <c r="B1" t="s">
        <v>102</v>
      </c>
      <c r="C1">
        <v>17</v>
      </c>
    </row>
    <row r="3" spans="1:10" x14ac:dyDescent="0.25">
      <c r="A3" t="s">
        <v>75</v>
      </c>
      <c r="B3" t="s">
        <v>129</v>
      </c>
      <c r="C3" t="s">
        <v>130</v>
      </c>
      <c r="D3" t="s">
        <v>131</v>
      </c>
      <c r="E3" t="s">
        <v>132</v>
      </c>
      <c r="F3" t="s">
        <v>133</v>
      </c>
      <c r="H3" t="s">
        <v>134</v>
      </c>
    </row>
    <row r="4" spans="1:10" x14ac:dyDescent="0.25">
      <c r="A4" t="s">
        <v>136</v>
      </c>
      <c r="B4">
        <v>9</v>
      </c>
      <c r="C4">
        <f>B4/10</f>
        <v>0.9</v>
      </c>
      <c r="D4" s="4">
        <f>(C4*391*1000)/(2220000*10.9)</f>
        <v>1.4542524175551701E-2</v>
      </c>
      <c r="E4" s="4"/>
      <c r="H4" s="4">
        <f>AVERAGE(F11,F14,F17,F20,F23,F26)</f>
        <v>318.60213872408997</v>
      </c>
      <c r="J4" s="19"/>
    </row>
    <row r="5" spans="1:10" x14ac:dyDescent="0.25">
      <c r="A5" t="s">
        <v>137</v>
      </c>
      <c r="B5">
        <v>260</v>
      </c>
      <c r="C5">
        <f>B5/2000</f>
        <v>0.13</v>
      </c>
      <c r="D5" s="2">
        <f>(C5*391*1000)/(2220000*49.2)</f>
        <v>4.6537391049586169E-4</v>
      </c>
      <c r="E5" s="4">
        <f>D5*1000*1000</f>
        <v>465.37391049586171</v>
      </c>
    </row>
    <row r="6" spans="1:10" x14ac:dyDescent="0.25">
      <c r="A6" t="s">
        <v>138</v>
      </c>
      <c r="B6">
        <v>166</v>
      </c>
      <c r="C6">
        <f t="shared" ref="C6:C31" si="0">B6/2000</f>
        <v>8.3000000000000004E-2</v>
      </c>
      <c r="D6" s="2">
        <f t="shared" ref="D6:D31" si="1">(C6*391*1000)/(2220000*49.2)</f>
        <v>2.9712334285505023E-4</v>
      </c>
      <c r="E6" s="4">
        <f t="shared" ref="E6:E31" si="2">D6*1000*1000</f>
        <v>297.12334285505023</v>
      </c>
    </row>
    <row r="7" spans="1:10" x14ac:dyDescent="0.25">
      <c r="A7" t="s">
        <v>139</v>
      </c>
      <c r="B7">
        <v>148</v>
      </c>
      <c r="C7">
        <f t="shared" si="0"/>
        <v>7.3999999999999996E-2</v>
      </c>
      <c r="D7" s="2">
        <f t="shared" si="1"/>
        <v>2.6490514905149046E-4</v>
      </c>
      <c r="E7" s="4">
        <f t="shared" si="2"/>
        <v>264.90514905149041</v>
      </c>
    </row>
    <row r="8" spans="1:10" x14ac:dyDescent="0.25">
      <c r="A8" t="s">
        <v>181</v>
      </c>
      <c r="B8">
        <v>148</v>
      </c>
      <c r="C8">
        <f t="shared" si="0"/>
        <v>7.3999999999999996E-2</v>
      </c>
      <c r="D8" s="2">
        <f t="shared" si="1"/>
        <v>2.6490514905149046E-4</v>
      </c>
      <c r="E8" s="4">
        <f t="shared" si="2"/>
        <v>264.90514905149041</v>
      </c>
    </row>
    <row r="9" spans="1:10" x14ac:dyDescent="0.25">
      <c r="A9" t="s">
        <v>140</v>
      </c>
      <c r="B9">
        <v>165</v>
      </c>
      <c r="C9">
        <f t="shared" si="0"/>
        <v>8.2500000000000004E-2</v>
      </c>
      <c r="D9" s="2">
        <f t="shared" si="1"/>
        <v>2.9533344319929687E-4</v>
      </c>
      <c r="E9" s="4">
        <f t="shared" si="2"/>
        <v>295.33344319929688</v>
      </c>
    </row>
    <row r="10" spans="1:10" x14ac:dyDescent="0.25">
      <c r="A10" t="s">
        <v>141</v>
      </c>
      <c r="B10">
        <v>154</v>
      </c>
      <c r="C10">
        <f t="shared" si="0"/>
        <v>7.6999999999999999E-2</v>
      </c>
      <c r="D10" s="2">
        <f t="shared" si="1"/>
        <v>2.7564454698601038E-4</v>
      </c>
      <c r="E10" s="4">
        <f t="shared" si="2"/>
        <v>275.64454698601037</v>
      </c>
    </row>
    <row r="11" spans="1:10" x14ac:dyDescent="0.25">
      <c r="A11" t="s">
        <v>143</v>
      </c>
      <c r="B11">
        <v>235</v>
      </c>
      <c r="C11">
        <f t="shared" si="0"/>
        <v>0.11749999999999999</v>
      </c>
      <c r="D11" s="2">
        <f t="shared" si="1"/>
        <v>4.2062641910202881E-4</v>
      </c>
      <c r="E11" s="4">
        <f t="shared" si="2"/>
        <v>420.62641910202882</v>
      </c>
      <c r="F11" s="4">
        <f>AVERAGE(E11:E13)</f>
        <v>365.13952977367609</v>
      </c>
      <c r="G11" s="27">
        <f>STDEV(E11:E13)/F11</f>
        <v>0.13433519221612503</v>
      </c>
      <c r="H11" s="13">
        <f>E11/1000</f>
        <v>0.4206264191020288</v>
      </c>
      <c r="I11">
        <v>3</v>
      </c>
    </row>
    <row r="12" spans="1:10" x14ac:dyDescent="0.25">
      <c r="A12" t="s">
        <v>144</v>
      </c>
      <c r="B12">
        <v>194</v>
      </c>
      <c r="C12">
        <f t="shared" si="0"/>
        <v>9.7000000000000003E-2</v>
      </c>
      <c r="D12" s="2">
        <f t="shared" si="1"/>
        <v>3.4724053321614297E-4</v>
      </c>
      <c r="E12" s="4">
        <f t="shared" si="2"/>
        <v>347.24053321614298</v>
      </c>
      <c r="H12" s="13">
        <f t="shared" ref="H12:H28" si="3">E12/1000</f>
        <v>0.34724053321614295</v>
      </c>
      <c r="I12">
        <v>3</v>
      </c>
    </row>
    <row r="13" spans="1:10" x14ac:dyDescent="0.25">
      <c r="A13" t="s">
        <v>145</v>
      </c>
      <c r="B13">
        <v>183</v>
      </c>
      <c r="C13">
        <f t="shared" si="0"/>
        <v>9.1499999999999998E-2</v>
      </c>
      <c r="D13" s="2">
        <f t="shared" si="1"/>
        <v>3.2755163700285653E-4</v>
      </c>
      <c r="E13" s="4">
        <f t="shared" si="2"/>
        <v>327.55163700285658</v>
      </c>
      <c r="H13" s="13">
        <f t="shared" si="3"/>
        <v>0.32755163700285655</v>
      </c>
      <c r="I13">
        <v>3</v>
      </c>
    </row>
    <row r="14" spans="1:10" x14ac:dyDescent="0.25">
      <c r="A14" t="s">
        <v>146</v>
      </c>
      <c r="B14">
        <v>157</v>
      </c>
      <c r="C14">
        <f t="shared" si="0"/>
        <v>7.85E-2</v>
      </c>
      <c r="D14" s="2">
        <f t="shared" si="1"/>
        <v>2.8101424595327034E-4</v>
      </c>
      <c r="E14" s="4">
        <f t="shared" si="2"/>
        <v>281.01424595327035</v>
      </c>
      <c r="F14" s="4">
        <f>AVERAGE(E14:E16)</f>
        <v>284.59404526477698</v>
      </c>
      <c r="G14" s="27">
        <f>STDEV(E14:E16)/F14</f>
        <v>5.7642461571771747E-2</v>
      </c>
      <c r="H14" s="13">
        <f t="shared" si="3"/>
        <v>0.28101424595327035</v>
      </c>
      <c r="I14">
        <v>6</v>
      </c>
    </row>
    <row r="15" spans="1:10" x14ac:dyDescent="0.25">
      <c r="A15" t="s">
        <v>147</v>
      </c>
      <c r="B15">
        <v>169</v>
      </c>
      <c r="C15">
        <f t="shared" si="0"/>
        <v>8.4500000000000006E-2</v>
      </c>
      <c r="D15" s="2">
        <f t="shared" si="1"/>
        <v>3.0249304182231019E-4</v>
      </c>
      <c r="E15" s="4">
        <f t="shared" si="2"/>
        <v>302.4930418223102</v>
      </c>
      <c r="H15" s="13">
        <f t="shared" si="3"/>
        <v>0.30249304182231018</v>
      </c>
      <c r="I15">
        <v>6</v>
      </c>
    </row>
    <row r="16" spans="1:10" x14ac:dyDescent="0.25">
      <c r="A16" t="s">
        <v>148</v>
      </c>
      <c r="B16">
        <v>151</v>
      </c>
      <c r="C16">
        <f t="shared" si="0"/>
        <v>7.5499999999999998E-2</v>
      </c>
      <c r="D16" s="2">
        <f t="shared" si="1"/>
        <v>2.7027484801875047E-4</v>
      </c>
      <c r="E16" s="4">
        <f t="shared" si="2"/>
        <v>270.27484801875045</v>
      </c>
      <c r="H16" s="13">
        <f t="shared" si="3"/>
        <v>0.27027484801875046</v>
      </c>
      <c r="I16">
        <v>6</v>
      </c>
    </row>
    <row r="17" spans="1:9" x14ac:dyDescent="0.25">
      <c r="A17" t="s">
        <v>149</v>
      </c>
      <c r="B17">
        <v>137</v>
      </c>
      <c r="C17">
        <f t="shared" si="0"/>
        <v>6.8500000000000005E-2</v>
      </c>
      <c r="D17" s="2">
        <f t="shared" si="1"/>
        <v>2.4521625283820407E-4</v>
      </c>
      <c r="E17" s="4">
        <f t="shared" si="2"/>
        <v>245.2162528382041</v>
      </c>
      <c r="F17" s="4">
        <f>AVERAGE(E17:E19)</f>
        <v>304.28294147806349</v>
      </c>
      <c r="G17" s="27">
        <f>STDEV(E17:E19)/F17</f>
        <v>0.3210600952704748</v>
      </c>
      <c r="H17" s="13">
        <f t="shared" si="3"/>
        <v>0.24521625283820409</v>
      </c>
      <c r="I17">
        <v>12</v>
      </c>
    </row>
    <row r="18" spans="1:9" x14ac:dyDescent="0.25">
      <c r="A18" t="s">
        <v>150</v>
      </c>
      <c r="B18">
        <v>140</v>
      </c>
      <c r="C18">
        <f t="shared" si="0"/>
        <v>7.0000000000000007E-2</v>
      </c>
      <c r="D18" s="2">
        <f t="shared" si="1"/>
        <v>2.5058595180546398E-4</v>
      </c>
      <c r="E18" s="4">
        <f t="shared" si="2"/>
        <v>250.58595180546399</v>
      </c>
      <c r="H18" s="13">
        <f t="shared" si="3"/>
        <v>0.250585951805464</v>
      </c>
      <c r="I18">
        <v>12</v>
      </c>
    </row>
    <row r="19" spans="1:9" x14ac:dyDescent="0.25">
      <c r="A19" t="s">
        <v>151</v>
      </c>
      <c r="B19">
        <v>233</v>
      </c>
      <c r="C19">
        <f t="shared" si="0"/>
        <v>0.11650000000000001</v>
      </c>
      <c r="D19" s="2">
        <f t="shared" si="1"/>
        <v>4.1704661979052231E-4</v>
      </c>
      <c r="E19" s="4">
        <f t="shared" si="2"/>
        <v>417.0466197905223</v>
      </c>
      <c r="H19" s="13">
        <f t="shared" si="3"/>
        <v>0.41704661979052232</v>
      </c>
      <c r="I19">
        <v>12</v>
      </c>
    </row>
    <row r="20" spans="1:9" x14ac:dyDescent="0.25">
      <c r="A20" t="s">
        <v>182</v>
      </c>
      <c r="B20">
        <v>128</v>
      </c>
      <c r="C20">
        <f t="shared" si="0"/>
        <v>6.4000000000000001E-2</v>
      </c>
      <c r="D20" s="2">
        <f t="shared" si="1"/>
        <v>2.2910715593642424E-4</v>
      </c>
      <c r="E20" s="4">
        <f t="shared" si="2"/>
        <v>229.10715593642425</v>
      </c>
      <c r="F20" s="4">
        <f>AVERAGE(E20:E22)</f>
        <v>279.224346297517</v>
      </c>
      <c r="G20" s="27">
        <f>STDEV(E20:E22)/F20</f>
        <v>0.2472730964357169</v>
      </c>
      <c r="H20" s="13">
        <f t="shared" si="3"/>
        <v>0.22910715593642425</v>
      </c>
      <c r="I20">
        <v>16</v>
      </c>
    </row>
    <row r="21" spans="1:9" x14ac:dyDescent="0.25">
      <c r="A21" t="s">
        <v>183</v>
      </c>
      <c r="B21">
        <v>140</v>
      </c>
      <c r="C21">
        <f t="shared" si="0"/>
        <v>7.0000000000000007E-2</v>
      </c>
      <c r="D21" s="2">
        <f t="shared" si="1"/>
        <v>2.5058595180546398E-4</v>
      </c>
      <c r="E21" s="4">
        <f t="shared" si="2"/>
        <v>250.58595180546399</v>
      </c>
      <c r="H21" s="13">
        <f t="shared" si="3"/>
        <v>0.250585951805464</v>
      </c>
      <c r="I21">
        <v>16</v>
      </c>
    </row>
    <row r="22" spans="1:9" x14ac:dyDescent="0.25">
      <c r="A22" t="s">
        <v>184</v>
      </c>
      <c r="B22">
        <v>200</v>
      </c>
      <c r="C22">
        <f t="shared" si="0"/>
        <v>0.1</v>
      </c>
      <c r="D22" s="2">
        <f t="shared" si="1"/>
        <v>3.5797993115066284E-4</v>
      </c>
      <c r="E22" s="4">
        <f t="shared" si="2"/>
        <v>357.97993115066282</v>
      </c>
      <c r="H22" s="13">
        <f t="shared" si="3"/>
        <v>0.35797993115066284</v>
      </c>
      <c r="I22">
        <v>16</v>
      </c>
    </row>
    <row r="23" spans="1:9" x14ac:dyDescent="0.25">
      <c r="A23" t="s">
        <v>152</v>
      </c>
      <c r="B23">
        <v>147</v>
      </c>
      <c r="C23">
        <f t="shared" si="0"/>
        <v>7.3499999999999996E-2</v>
      </c>
      <c r="D23" s="2">
        <f t="shared" si="1"/>
        <v>2.6311524939573721E-4</v>
      </c>
      <c r="E23" s="4">
        <f t="shared" si="2"/>
        <v>263.11524939573724</v>
      </c>
      <c r="F23" s="4">
        <f>AVERAGE(E23:E25)</f>
        <v>340.08093459312971</v>
      </c>
      <c r="G23" s="27">
        <f>STDEV(E23:E25)/F23</f>
        <v>0.22124052165245983</v>
      </c>
      <c r="H23" s="13">
        <f t="shared" si="3"/>
        <v>0.26311524939573722</v>
      </c>
      <c r="I23">
        <v>24</v>
      </c>
    </row>
    <row r="24" spans="1:9" x14ac:dyDescent="0.25">
      <c r="A24" t="s">
        <v>153</v>
      </c>
      <c r="B24">
        <v>192</v>
      </c>
      <c r="C24">
        <f t="shared" si="0"/>
        <v>9.6000000000000002E-2</v>
      </c>
      <c r="D24" s="2">
        <f t="shared" si="1"/>
        <v>3.4366073390463636E-4</v>
      </c>
      <c r="E24" s="4">
        <f t="shared" si="2"/>
        <v>343.66073390463634</v>
      </c>
      <c r="H24" s="13">
        <f t="shared" si="3"/>
        <v>0.34366073390463636</v>
      </c>
      <c r="I24">
        <v>24</v>
      </c>
    </row>
    <row r="25" spans="1:9" x14ac:dyDescent="0.25">
      <c r="A25" t="s">
        <v>154</v>
      </c>
      <c r="B25">
        <v>231</v>
      </c>
      <c r="C25">
        <f t="shared" si="0"/>
        <v>0.11550000000000001</v>
      </c>
      <c r="D25" s="2">
        <f t="shared" si="1"/>
        <v>4.134668204790156E-4</v>
      </c>
      <c r="E25" s="4">
        <f t="shared" si="2"/>
        <v>413.46682047901561</v>
      </c>
      <c r="H25" s="13">
        <f t="shared" si="3"/>
        <v>0.41346682047901562</v>
      </c>
      <c r="I25">
        <v>24</v>
      </c>
    </row>
    <row r="26" spans="1:9" x14ac:dyDescent="0.25">
      <c r="A26" t="s">
        <v>155</v>
      </c>
      <c r="B26">
        <v>160</v>
      </c>
      <c r="C26">
        <f t="shared" si="0"/>
        <v>0.08</v>
      </c>
      <c r="D26" s="2">
        <f t="shared" si="1"/>
        <v>2.863839449205303E-4</v>
      </c>
      <c r="E26" s="4">
        <f t="shared" si="2"/>
        <v>286.38394492053033</v>
      </c>
      <c r="F26" s="4">
        <f>AVERAGE(E26:E28)</f>
        <v>338.29103493737642</v>
      </c>
      <c r="G26" s="27">
        <f>STDEV(E26:E28)/F26</f>
        <v>0.2257840031042532</v>
      </c>
      <c r="H26" s="13">
        <f t="shared" si="3"/>
        <v>0.28638394492053032</v>
      </c>
      <c r="I26">
        <v>36</v>
      </c>
    </row>
    <row r="27" spans="1:9" x14ac:dyDescent="0.25">
      <c r="A27" t="s">
        <v>156</v>
      </c>
      <c r="B27">
        <v>169</v>
      </c>
      <c r="C27">
        <f t="shared" si="0"/>
        <v>8.4500000000000006E-2</v>
      </c>
      <c r="D27" s="2">
        <f t="shared" si="1"/>
        <v>3.0249304182231019E-4</v>
      </c>
      <c r="E27" s="4">
        <f t="shared" si="2"/>
        <v>302.4930418223102</v>
      </c>
      <c r="H27" s="13">
        <f t="shared" si="3"/>
        <v>0.30249304182231018</v>
      </c>
      <c r="I27">
        <v>36</v>
      </c>
    </row>
    <row r="28" spans="1:9" x14ac:dyDescent="0.25">
      <c r="A28" t="s">
        <v>157</v>
      </c>
      <c r="B28">
        <v>238</v>
      </c>
      <c r="C28">
        <f t="shared" si="0"/>
        <v>0.11899999999999999</v>
      </c>
      <c r="D28" s="2">
        <f t="shared" si="1"/>
        <v>4.2599611806928882E-4</v>
      </c>
      <c r="E28" s="4">
        <f t="shared" si="2"/>
        <v>425.99611806928885</v>
      </c>
      <c r="H28" s="13">
        <f t="shared" si="3"/>
        <v>0.42599611806928883</v>
      </c>
      <c r="I28">
        <v>36</v>
      </c>
    </row>
    <row r="29" spans="1:9" x14ac:dyDescent="0.25">
      <c r="A29" t="s">
        <v>99</v>
      </c>
      <c r="B29">
        <v>6</v>
      </c>
      <c r="C29">
        <f t="shared" si="0"/>
        <v>3.0000000000000001E-3</v>
      </c>
      <c r="D29" s="2">
        <f t="shared" si="1"/>
        <v>1.0739397934519886E-5</v>
      </c>
      <c r="E29" s="4">
        <f t="shared" si="2"/>
        <v>10.739397934519886</v>
      </c>
      <c r="F29" s="4">
        <f>AVERAGE(E29:E31)</f>
        <v>8.3528650601821344</v>
      </c>
    </row>
    <row r="30" spans="1:9" x14ac:dyDescent="0.25">
      <c r="A30" t="s">
        <v>100</v>
      </c>
      <c r="B30">
        <v>5</v>
      </c>
      <c r="C30">
        <f t="shared" si="0"/>
        <v>2.5000000000000001E-3</v>
      </c>
      <c r="D30" s="2">
        <f t="shared" si="1"/>
        <v>8.9494982787665719E-6</v>
      </c>
      <c r="E30" s="4">
        <f t="shared" si="2"/>
        <v>8.9494982787665727</v>
      </c>
    </row>
    <row r="31" spans="1:9" x14ac:dyDescent="0.25">
      <c r="A31" t="s">
        <v>101</v>
      </c>
      <c r="B31">
        <v>3</v>
      </c>
      <c r="C31">
        <f t="shared" si="0"/>
        <v>1.5E-3</v>
      </c>
      <c r="D31" s="2">
        <f t="shared" si="1"/>
        <v>5.3696989672599432E-6</v>
      </c>
      <c r="E31" s="4">
        <f t="shared" si="2"/>
        <v>5.3696989672599429</v>
      </c>
    </row>
    <row r="32" spans="1:9" x14ac:dyDescent="0.25">
      <c r="D32" s="2"/>
      <c r="E32" s="4"/>
    </row>
    <row r="33" spans="1:15" x14ac:dyDescent="0.25">
      <c r="D33" s="2"/>
      <c r="E33" s="4"/>
    </row>
    <row r="34" spans="1:15" x14ac:dyDescent="0.25">
      <c r="A34" s="14" t="s">
        <v>164</v>
      </c>
      <c r="B34" s="14">
        <f t="array" ref="B34:C38">LINEST(E11:E28,I11:I28,TRUE,TRUE)</f>
        <v>0.47805020852525787</v>
      </c>
      <c r="C34" s="15">
        <v>310.87366035293161</v>
      </c>
      <c r="D34" s="16" t="s">
        <v>165</v>
      </c>
      <c r="E34" s="17"/>
    </row>
    <row r="35" spans="1:15" x14ac:dyDescent="0.25">
      <c r="A35" s="14" t="s">
        <v>166</v>
      </c>
      <c r="B35" s="14">
        <v>1.4370641734811285</v>
      </c>
      <c r="C35" s="15">
        <v>28.239925983952961</v>
      </c>
      <c r="D35" s="16" t="s">
        <v>166</v>
      </c>
      <c r="E35" s="17"/>
    </row>
    <row r="36" spans="1:15" x14ac:dyDescent="0.25">
      <c r="A36" s="14" t="s">
        <v>167</v>
      </c>
      <c r="B36" s="14">
        <v>6.8688074004532593E-3</v>
      </c>
      <c r="C36" s="15">
        <v>68.112900393730754</v>
      </c>
      <c r="D36" s="16" t="s">
        <v>168</v>
      </c>
      <c r="E36" s="17"/>
    </row>
    <row r="37" spans="1:15" x14ac:dyDescent="0.25">
      <c r="A37" s="14" t="s">
        <v>169</v>
      </c>
      <c r="B37" s="14">
        <v>0.11066102769321305</v>
      </c>
      <c r="C37" s="15">
        <v>16</v>
      </c>
      <c r="D37" s="16" t="s">
        <v>170</v>
      </c>
      <c r="E37" s="17"/>
    </row>
    <row r="38" spans="1:15" x14ac:dyDescent="0.25">
      <c r="A38" s="14" t="s">
        <v>171</v>
      </c>
      <c r="B38" s="14">
        <v>513.39714220330643</v>
      </c>
      <c r="C38" s="15">
        <v>74229.875200740586</v>
      </c>
      <c r="D38" s="16" t="s">
        <v>172</v>
      </c>
      <c r="E38" s="17"/>
    </row>
    <row r="39" spans="1:15" x14ac:dyDescent="0.25">
      <c r="B39">
        <f>LINEST(E11:E28,I11:I28,TRUE,TRUE)</f>
        <v>0.47805020852525787</v>
      </c>
      <c r="D39" s="2"/>
      <c r="E39" s="4"/>
    </row>
    <row r="40" spans="1:15" x14ac:dyDescent="0.25">
      <c r="D40" s="2"/>
      <c r="E40" s="4"/>
    </row>
    <row r="41" spans="1:15" x14ac:dyDescent="0.25">
      <c r="A41" s="14" t="s">
        <v>173</v>
      </c>
      <c r="B41" s="14">
        <f>B34/B35</f>
        <v>0.33265752312733138</v>
      </c>
      <c r="D41" s="2"/>
      <c r="E41" s="4"/>
    </row>
    <row r="42" spans="1:15" x14ac:dyDescent="0.25">
      <c r="A42" s="14" t="s">
        <v>174</v>
      </c>
      <c r="B42" s="14">
        <f>TDIST(ABS(B41),C37,2)</f>
        <v>0.74371151435835903</v>
      </c>
      <c r="C42" t="s">
        <v>190</v>
      </c>
      <c r="D42" s="2"/>
      <c r="E42" s="4"/>
    </row>
    <row r="43" spans="1:15" x14ac:dyDescent="0.25">
      <c r="A43" s="25"/>
      <c r="B43" s="25"/>
      <c r="C43" s="25"/>
      <c r="D43" s="26"/>
      <c r="E43" s="19"/>
      <c r="F43" s="25"/>
      <c r="G43" s="25"/>
      <c r="H43" s="25"/>
      <c r="I43" s="25"/>
      <c r="J43" s="25"/>
      <c r="K43" s="25"/>
      <c r="L43" s="25"/>
      <c r="M43" s="25"/>
      <c r="N43" s="25"/>
      <c r="O43" s="25"/>
    </row>
    <row r="44" spans="1:15" x14ac:dyDescent="0.25">
      <c r="A44" s="25"/>
      <c r="B44" s="25"/>
      <c r="C44" s="25"/>
      <c r="D44" s="25"/>
      <c r="E44" s="25"/>
      <c r="F44" s="25"/>
      <c r="G44" s="25"/>
      <c r="H44" s="25"/>
      <c r="I44" s="25"/>
      <c r="J44" s="25"/>
      <c r="K44" s="25"/>
      <c r="L44" s="25"/>
      <c r="M44" s="25"/>
      <c r="N44" s="25"/>
      <c r="O44" s="25"/>
    </row>
  </sheetData>
  <pageMargins left="0.75" right="0.75" top="1" bottom="1" header="0.5" footer="0.5"/>
  <pageSetup orientation="portrait" horizontalDpi="4294967292" verticalDpi="4294967292"/>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sheetPr>
  <dimension ref="A1:F24"/>
  <sheetViews>
    <sheetView workbookViewId="0">
      <selection activeCell="C27" sqref="C27"/>
    </sheetView>
  </sheetViews>
  <sheetFormatPr defaultColWidth="11" defaultRowHeight="15.75" x14ac:dyDescent="0.25"/>
  <cols>
    <col min="2" max="2" width="16" customWidth="1"/>
    <col min="3" max="3" width="20.625" customWidth="1"/>
    <col min="4" max="4" width="17.375" customWidth="1"/>
    <col min="5" max="5" width="7.5" customWidth="1"/>
    <col min="6" max="6" width="21.375" customWidth="1"/>
  </cols>
  <sheetData>
    <row r="1" spans="1:6" x14ac:dyDescent="0.25">
      <c r="A1" s="1" t="s">
        <v>204</v>
      </c>
    </row>
    <row r="3" spans="1:6" x14ac:dyDescent="0.25">
      <c r="A3" t="s">
        <v>75</v>
      </c>
      <c r="B3" t="s">
        <v>76</v>
      </c>
      <c r="C3" t="s">
        <v>77</v>
      </c>
      <c r="D3" t="s">
        <v>78</v>
      </c>
      <c r="E3" t="s">
        <v>79</v>
      </c>
      <c r="F3" t="s">
        <v>80</v>
      </c>
    </row>
    <row r="4" spans="1:6" x14ac:dyDescent="0.25">
      <c r="A4" t="s">
        <v>81</v>
      </c>
      <c r="B4">
        <v>6.3170000000000004E-2</v>
      </c>
      <c r="C4">
        <v>6.4240000000000005E-2</v>
      </c>
      <c r="D4">
        <f t="shared" ref="D4:D24" si="0">C4-B4</f>
        <v>1.0700000000000015E-3</v>
      </c>
      <c r="E4">
        <v>13</v>
      </c>
      <c r="F4" s="2">
        <f t="shared" ref="F4:F24" si="1">D4/E4</f>
        <v>8.2307692307692426E-5</v>
      </c>
    </row>
    <row r="5" spans="1:6" x14ac:dyDescent="0.25">
      <c r="A5" t="s">
        <v>82</v>
      </c>
      <c r="B5">
        <v>6.6600000000000006E-2</v>
      </c>
      <c r="C5">
        <v>6.7669999999999994E-2</v>
      </c>
      <c r="D5">
        <f t="shared" si="0"/>
        <v>1.0699999999999876E-3</v>
      </c>
      <c r="E5">
        <v>14</v>
      </c>
      <c r="F5" s="2">
        <f t="shared" si="1"/>
        <v>7.6428571428570539E-5</v>
      </c>
    </row>
    <row r="6" spans="1:6" x14ac:dyDescent="0.25">
      <c r="A6" t="s">
        <v>83</v>
      </c>
      <c r="B6">
        <v>5.7160000000000002E-2</v>
      </c>
      <c r="C6">
        <v>5.8180000000000003E-2</v>
      </c>
      <c r="D6">
        <f t="shared" si="0"/>
        <v>1.0200000000000001E-3</v>
      </c>
      <c r="E6">
        <v>15</v>
      </c>
      <c r="F6" s="2">
        <f t="shared" si="1"/>
        <v>6.7999999999999999E-5</v>
      </c>
    </row>
    <row r="7" spans="1:6" x14ac:dyDescent="0.25">
      <c r="A7" t="s">
        <v>84</v>
      </c>
      <c r="B7">
        <v>4.4470000000000003E-2</v>
      </c>
      <c r="C7">
        <v>4.5490000000000003E-2</v>
      </c>
      <c r="D7">
        <f t="shared" si="0"/>
        <v>1.0200000000000001E-3</v>
      </c>
      <c r="E7">
        <v>12</v>
      </c>
      <c r="F7" s="2">
        <f t="shared" si="1"/>
        <v>8.5000000000000006E-5</v>
      </c>
    </row>
    <row r="8" spans="1:6" x14ac:dyDescent="0.25">
      <c r="A8" t="s">
        <v>85</v>
      </c>
      <c r="B8">
        <v>5.7540000000000001E-2</v>
      </c>
      <c r="C8">
        <v>5.8869999999999999E-2</v>
      </c>
      <c r="D8">
        <f t="shared" si="0"/>
        <v>1.3299999999999979E-3</v>
      </c>
      <c r="E8">
        <v>15</v>
      </c>
      <c r="F8" s="2">
        <f t="shared" si="1"/>
        <v>8.8666666666666527E-5</v>
      </c>
    </row>
    <row r="9" spans="1:6" x14ac:dyDescent="0.25">
      <c r="A9" t="s">
        <v>86</v>
      </c>
      <c r="B9">
        <v>5.1529999999999999E-2</v>
      </c>
      <c r="C9">
        <v>5.2690000000000001E-2</v>
      </c>
      <c r="D9">
        <f t="shared" si="0"/>
        <v>1.1600000000000013E-3</v>
      </c>
      <c r="E9">
        <v>15</v>
      </c>
      <c r="F9" s="2">
        <f t="shared" si="1"/>
        <v>7.7333333333333415E-5</v>
      </c>
    </row>
    <row r="10" spans="1:6" x14ac:dyDescent="0.25">
      <c r="A10" t="s">
        <v>87</v>
      </c>
      <c r="B10">
        <v>6.1100000000000002E-2</v>
      </c>
      <c r="C10">
        <v>6.2469999999999998E-2</v>
      </c>
      <c r="D10">
        <f t="shared" si="0"/>
        <v>1.3699999999999962E-3</v>
      </c>
      <c r="E10">
        <v>16</v>
      </c>
      <c r="F10" s="2">
        <f t="shared" si="1"/>
        <v>8.5624999999999764E-5</v>
      </c>
    </row>
    <row r="11" spans="1:6" x14ac:dyDescent="0.25">
      <c r="A11" t="s">
        <v>88</v>
      </c>
      <c r="B11">
        <v>6.2399999999999997E-2</v>
      </c>
      <c r="C11">
        <v>6.3909999999999995E-2</v>
      </c>
      <c r="D11">
        <f t="shared" si="0"/>
        <v>1.5099999999999975E-3</v>
      </c>
      <c r="E11">
        <v>15</v>
      </c>
      <c r="F11" s="2">
        <f t="shared" si="1"/>
        <v>1.0066666666666649E-4</v>
      </c>
    </row>
    <row r="12" spans="1:6" x14ac:dyDescent="0.25">
      <c r="A12" t="s">
        <v>89</v>
      </c>
      <c r="B12">
        <v>5.604E-2</v>
      </c>
      <c r="C12">
        <v>5.7230000000000003E-2</v>
      </c>
      <c r="D12">
        <f t="shared" si="0"/>
        <v>1.1900000000000036E-3</v>
      </c>
      <c r="E12">
        <v>13</v>
      </c>
      <c r="F12" s="2">
        <f t="shared" si="1"/>
        <v>9.1538461538461817E-5</v>
      </c>
    </row>
    <row r="13" spans="1:6" x14ac:dyDescent="0.25">
      <c r="A13" t="s">
        <v>177</v>
      </c>
      <c r="B13">
        <v>4.9849999999999998E-2</v>
      </c>
      <c r="C13">
        <v>5.1020000000000003E-2</v>
      </c>
      <c r="D13">
        <f t="shared" si="0"/>
        <v>1.1700000000000044E-3</v>
      </c>
      <c r="E13">
        <v>15</v>
      </c>
      <c r="F13" s="2">
        <f t="shared" si="1"/>
        <v>7.8000000000000297E-5</v>
      </c>
    </row>
    <row r="14" spans="1:6" x14ac:dyDescent="0.25">
      <c r="A14" t="s">
        <v>178</v>
      </c>
      <c r="B14">
        <v>4.8309999999999999E-2</v>
      </c>
      <c r="C14">
        <v>4.929E-2</v>
      </c>
      <c r="D14">
        <f t="shared" si="0"/>
        <v>9.800000000000017E-4</v>
      </c>
      <c r="E14">
        <v>13</v>
      </c>
      <c r="F14" s="2">
        <f t="shared" si="1"/>
        <v>7.5384615384615521E-5</v>
      </c>
    </row>
    <row r="15" spans="1:6" x14ac:dyDescent="0.25">
      <c r="A15" t="s">
        <v>179</v>
      </c>
      <c r="B15">
        <v>5.706E-2</v>
      </c>
      <c r="C15">
        <v>5.8029999999999998E-2</v>
      </c>
      <c r="D15">
        <f t="shared" si="0"/>
        <v>9.6999999999999864E-4</v>
      </c>
      <c r="E15">
        <v>14</v>
      </c>
      <c r="F15" s="2">
        <f t="shared" si="1"/>
        <v>6.9285714285714193E-5</v>
      </c>
    </row>
    <row r="16" spans="1:6" x14ac:dyDescent="0.25">
      <c r="A16" t="s">
        <v>90</v>
      </c>
      <c r="B16">
        <v>4.1169999999999998E-2</v>
      </c>
      <c r="C16">
        <v>4.2270000000000002E-2</v>
      </c>
      <c r="D16">
        <f t="shared" si="0"/>
        <v>1.1000000000000038E-3</v>
      </c>
      <c r="E16">
        <v>15</v>
      </c>
      <c r="F16" s="2">
        <f t="shared" si="1"/>
        <v>7.3333333333333589E-5</v>
      </c>
    </row>
    <row r="17" spans="1:6" x14ac:dyDescent="0.25">
      <c r="A17" t="s">
        <v>91</v>
      </c>
      <c r="B17">
        <v>5.5410000000000001E-2</v>
      </c>
      <c r="C17">
        <v>5.6329999999999998E-2</v>
      </c>
      <c r="D17">
        <f t="shared" si="0"/>
        <v>9.1999999999999721E-4</v>
      </c>
      <c r="E17">
        <v>16</v>
      </c>
      <c r="F17" s="2">
        <f t="shared" si="1"/>
        <v>5.7499999999999826E-5</v>
      </c>
    </row>
    <row r="18" spans="1:6" x14ac:dyDescent="0.25">
      <c r="A18" t="s">
        <v>92</v>
      </c>
      <c r="B18">
        <v>5.287E-2</v>
      </c>
      <c r="C18">
        <v>5.389E-2</v>
      </c>
      <c r="D18">
        <f t="shared" si="0"/>
        <v>1.0200000000000001E-3</v>
      </c>
      <c r="E18">
        <v>14</v>
      </c>
      <c r="F18" s="2">
        <f t="shared" si="1"/>
        <v>7.285714285714286E-5</v>
      </c>
    </row>
    <row r="19" spans="1:6" x14ac:dyDescent="0.25">
      <c r="A19" t="s">
        <v>93</v>
      </c>
      <c r="B19">
        <v>5.0009999999999999E-2</v>
      </c>
      <c r="C19">
        <v>5.092E-2</v>
      </c>
      <c r="D19">
        <f t="shared" si="0"/>
        <v>9.1000000000000109E-4</v>
      </c>
      <c r="E19">
        <v>13</v>
      </c>
      <c r="F19" s="2">
        <f t="shared" si="1"/>
        <v>7.0000000000000089E-5</v>
      </c>
    </row>
    <row r="20" spans="1:6" x14ac:dyDescent="0.25">
      <c r="A20" t="s">
        <v>94</v>
      </c>
      <c r="B20">
        <v>4.727E-2</v>
      </c>
      <c r="C20">
        <v>4.8160000000000001E-2</v>
      </c>
      <c r="D20">
        <f t="shared" si="0"/>
        <v>8.900000000000019E-4</v>
      </c>
      <c r="E20">
        <v>14</v>
      </c>
      <c r="F20" s="2">
        <f t="shared" si="1"/>
        <v>6.3571428571428703E-5</v>
      </c>
    </row>
    <row r="21" spans="1:6" x14ac:dyDescent="0.25">
      <c r="A21" t="s">
        <v>95</v>
      </c>
      <c r="B21">
        <v>5.8610000000000002E-2</v>
      </c>
      <c r="C21">
        <v>5.9560000000000002E-2</v>
      </c>
      <c r="D21">
        <f t="shared" si="0"/>
        <v>9.4999999999999946E-4</v>
      </c>
      <c r="E21">
        <v>15</v>
      </c>
      <c r="F21" s="2">
        <f t="shared" si="1"/>
        <v>6.3333333333333292E-5</v>
      </c>
    </row>
    <row r="22" spans="1:6" x14ac:dyDescent="0.25">
      <c r="A22" t="s">
        <v>99</v>
      </c>
      <c r="B22">
        <v>4.7329999999999997E-2</v>
      </c>
      <c r="C22">
        <v>4.8280000000000003E-2</v>
      </c>
      <c r="D22">
        <f t="shared" si="0"/>
        <v>9.5000000000000639E-4</v>
      </c>
      <c r="E22">
        <v>15</v>
      </c>
      <c r="F22" s="2">
        <f t="shared" si="1"/>
        <v>6.3333333333333766E-5</v>
      </c>
    </row>
    <row r="23" spans="1:6" x14ac:dyDescent="0.25">
      <c r="A23" t="s">
        <v>100</v>
      </c>
      <c r="B23">
        <v>5.6410000000000002E-2</v>
      </c>
      <c r="C23">
        <v>5.747E-2</v>
      </c>
      <c r="D23">
        <f t="shared" si="0"/>
        <v>1.0599999999999984E-3</v>
      </c>
      <c r="E23">
        <v>14</v>
      </c>
      <c r="F23" s="2">
        <f t="shared" si="1"/>
        <v>7.5714285714285605E-5</v>
      </c>
    </row>
    <row r="24" spans="1:6" x14ac:dyDescent="0.25">
      <c r="A24" t="s">
        <v>101</v>
      </c>
      <c r="B24">
        <v>5.1900000000000002E-2</v>
      </c>
      <c r="C24">
        <v>5.2630000000000003E-2</v>
      </c>
      <c r="D24">
        <f t="shared" si="0"/>
        <v>7.3000000000000148E-4</v>
      </c>
      <c r="E24">
        <v>15</v>
      </c>
      <c r="F24" s="2">
        <f t="shared" si="1"/>
        <v>4.8666666666666768E-5</v>
      </c>
    </row>
  </sheetData>
  <pageMargins left="0.75" right="0.7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sheetPr>
  <dimension ref="A1:O52"/>
  <sheetViews>
    <sheetView topLeftCell="K26" workbookViewId="0">
      <selection activeCell="C27" sqref="C27"/>
    </sheetView>
  </sheetViews>
  <sheetFormatPr defaultColWidth="11" defaultRowHeight="15.75" x14ac:dyDescent="0.25"/>
  <cols>
    <col min="1" max="1" width="12.875" customWidth="1"/>
    <col min="2" max="2" width="23.125" customWidth="1"/>
    <col min="3" max="3" width="8.875" customWidth="1"/>
    <col min="4" max="4" width="10.625" customWidth="1"/>
    <col min="5" max="5" width="15.5" customWidth="1"/>
  </cols>
  <sheetData>
    <row r="1" spans="1:10" x14ac:dyDescent="0.25">
      <c r="D1" t="s">
        <v>102</v>
      </c>
      <c r="E1">
        <v>19</v>
      </c>
      <c r="F1">
        <v>21</v>
      </c>
    </row>
    <row r="3" spans="1:10" x14ac:dyDescent="0.25">
      <c r="A3" t="s">
        <v>75</v>
      </c>
      <c r="B3" t="s">
        <v>103</v>
      </c>
      <c r="C3" t="s">
        <v>104</v>
      </c>
      <c r="D3" t="s">
        <v>105</v>
      </c>
      <c r="E3" t="s">
        <v>106</v>
      </c>
    </row>
    <row r="4" spans="1:10" x14ac:dyDescent="0.25">
      <c r="A4" t="s">
        <v>108</v>
      </c>
      <c r="B4">
        <v>7</v>
      </c>
      <c r="D4">
        <v>0</v>
      </c>
      <c r="E4">
        <v>0</v>
      </c>
      <c r="G4">
        <v>0</v>
      </c>
    </row>
    <row r="5" spans="1:10" x14ac:dyDescent="0.25">
      <c r="A5" t="s">
        <v>109</v>
      </c>
      <c r="B5">
        <v>3</v>
      </c>
      <c r="D5">
        <v>0</v>
      </c>
      <c r="E5">
        <v>0</v>
      </c>
      <c r="G5">
        <v>0</v>
      </c>
    </row>
    <row r="6" spans="1:10" x14ac:dyDescent="0.25">
      <c r="A6" t="s">
        <v>81</v>
      </c>
      <c r="B6">
        <v>391</v>
      </c>
      <c r="C6" s="4">
        <f>(B6*391)/(2220000*49.2)*1000/'Esc Masses 1.0 28'!D4</f>
        <v>1308.1322717748501</v>
      </c>
      <c r="D6" s="5">
        <f>(B6*391)/(2220000*49.2)*1000/'Esc Masses 1.0 28'!E4</f>
        <v>0.10766934852300705</v>
      </c>
      <c r="E6" s="4">
        <f>AVERAGE(C6:C8)</f>
        <v>1889.6665261873168</v>
      </c>
      <c r="F6" s="27">
        <f>STDEV(C6:C8)/E6</f>
        <v>0.35014782522873711</v>
      </c>
      <c r="G6">
        <v>3</v>
      </c>
      <c r="I6" t="s">
        <v>110</v>
      </c>
      <c r="J6" t="s">
        <v>106</v>
      </c>
    </row>
    <row r="7" spans="1:10" x14ac:dyDescent="0.25">
      <c r="A7" t="s">
        <v>82</v>
      </c>
      <c r="B7">
        <v>780</v>
      </c>
      <c r="C7" s="4">
        <f>(B7*391)/(2220000*49.2)*1000/'Esc Masses 1.0 28'!D5</f>
        <v>2609.573329883367</v>
      </c>
      <c r="D7" s="5">
        <f>(B7*391)/(2220000*49.2)*1000/'Esc Masses 1.0 28'!E5</f>
        <v>0.19944596164108358</v>
      </c>
      <c r="G7">
        <v>3</v>
      </c>
      <c r="I7">
        <v>3</v>
      </c>
    </row>
    <row r="8" spans="1:10" x14ac:dyDescent="0.25">
      <c r="A8" t="s">
        <v>83</v>
      </c>
      <c r="B8">
        <v>499</v>
      </c>
      <c r="C8" s="4">
        <f>(B8*391)/(2220000*49.2)*1000/'Esc Masses 1.0 28'!D6</f>
        <v>1751.293976903733</v>
      </c>
      <c r="D8" s="5">
        <f>(B8*391)/(2220000*49.2)*1000/'Esc Masses 1.0 28'!E6</f>
        <v>0.11908799042945385</v>
      </c>
      <c r="G8">
        <v>3</v>
      </c>
      <c r="I8">
        <v>6</v>
      </c>
    </row>
    <row r="9" spans="1:10" x14ac:dyDescent="0.25">
      <c r="A9" t="s">
        <v>84</v>
      </c>
      <c r="B9">
        <v>692</v>
      </c>
      <c r="C9" s="4">
        <f>(B9*391)/(2220000*49.2)*1000/'Esc Masses 1.0 28'!D7</f>
        <v>2428.6481603554776</v>
      </c>
      <c r="D9" s="5">
        <f>(B9*391)/(2220000*49.2)*1000/'Esc Masses 1.0 28'!E7</f>
        <v>0.20643509363021562</v>
      </c>
      <c r="E9" s="4">
        <f>AVERAGE(C9:C11)</f>
        <v>2564.1336772797686</v>
      </c>
      <c r="F9" s="27">
        <f>STDEV(C9:C11)/E9</f>
        <v>5.3378124387381987E-2</v>
      </c>
      <c r="G9">
        <v>6</v>
      </c>
      <c r="I9">
        <v>12</v>
      </c>
    </row>
    <row r="10" spans="1:10" x14ac:dyDescent="0.25">
      <c r="A10" t="s">
        <v>85</v>
      </c>
      <c r="B10">
        <v>1004</v>
      </c>
      <c r="C10" s="4">
        <f>(B10*391)/(2220000*49.2)*1000/'Esc Masses 1.0 28'!D8</f>
        <v>2702.3447434230534</v>
      </c>
      <c r="D10" s="5">
        <f>(B10*391)/(2220000*49.2)*1000/'Esc Masses 1.0 28'!E8</f>
        <v>0.23960790058351034</v>
      </c>
      <c r="G10">
        <v>6</v>
      </c>
      <c r="I10">
        <v>16</v>
      </c>
    </row>
    <row r="11" spans="1:10" x14ac:dyDescent="0.25">
      <c r="A11" t="s">
        <v>86</v>
      </c>
      <c r="B11">
        <v>830</v>
      </c>
      <c r="C11" s="4">
        <f>(B11*391)/(2220000*49.2)*1000/'Esc Masses 1.0 28'!D9</f>
        <v>2561.4081280607743</v>
      </c>
      <c r="D11" s="5">
        <f>(B11*391)/(2220000*49.2)*1000/'Esc Masses 1.0 28'!E9</f>
        <v>0.19808222857003344</v>
      </c>
      <c r="G11">
        <v>6</v>
      </c>
      <c r="I11">
        <v>24</v>
      </c>
    </row>
    <row r="12" spans="1:10" x14ac:dyDescent="0.25">
      <c r="A12" t="s">
        <v>87</v>
      </c>
      <c r="B12">
        <v>1146</v>
      </c>
      <c r="C12" s="4">
        <f>(B12*391)/(2220000*49.2)*1000/'Esc Masses 1.0 28'!D10</f>
        <v>2994.4890591143126</v>
      </c>
      <c r="D12" s="5">
        <f>(B12*391)/(2220000*49.2)*1000/'Esc Masses 1.0 28'!E10</f>
        <v>0.25640312568666229</v>
      </c>
      <c r="E12" s="4">
        <f>AVERAGE(C12:C14)</f>
        <v>2569.8228836437488</v>
      </c>
      <c r="F12" s="27">
        <f>STDEV(C12:C14)/E12</f>
        <v>0.14623452456618991</v>
      </c>
      <c r="G12">
        <v>12</v>
      </c>
      <c r="I12">
        <v>36</v>
      </c>
    </row>
    <row r="13" spans="1:10" x14ac:dyDescent="0.25">
      <c r="A13" t="s">
        <v>88</v>
      </c>
      <c r="B13">
        <v>1027</v>
      </c>
      <c r="C13" s="4">
        <f>(B13*391)/(2220000*49.2)*1000/'Esc Masses 1.0 28'!D11</f>
        <v>2434.7376774286845</v>
      </c>
      <c r="D13" s="5">
        <f>(B13*391)/(2220000*49.2)*1000/'Esc Masses 1.0 28'!E11</f>
        <v>0.24509692619448717</v>
      </c>
      <c r="G13">
        <v>12</v>
      </c>
    </row>
    <row r="14" spans="1:10" x14ac:dyDescent="0.25">
      <c r="A14" t="s">
        <v>89</v>
      </c>
      <c r="B14">
        <v>758</v>
      </c>
      <c r="C14" s="4">
        <f>(B14*391)/(2220000*49.2)*1000/'Esc Masses 1.0 28'!D12</f>
        <v>2280.2419143882494</v>
      </c>
      <c r="D14" s="5">
        <f>(B14*391)/(2220000*49.2)*1000/'Esc Masses 1.0 28'!E12</f>
        <v>0.20872983677861728</v>
      </c>
      <c r="G14">
        <v>12</v>
      </c>
    </row>
    <row r="15" spans="1:10" x14ac:dyDescent="0.25">
      <c r="A15" t="s">
        <v>177</v>
      </c>
      <c r="B15">
        <v>949</v>
      </c>
      <c r="C15" s="4">
        <f>(B15*391)/(2220000*49.2)*1000/'Esc Masses 1.0 28'!D13</f>
        <v>2903.6149971109212</v>
      </c>
      <c r="D15" s="5">
        <f>(B15*391)/(2220000*49.2)*1000/'Esc Masses 1.0 28'!E13</f>
        <v>0.22648196977465271</v>
      </c>
      <c r="E15" s="4">
        <f>AVERAGE(C15:C17)</f>
        <v>3514.8917207609816</v>
      </c>
      <c r="F15" s="27">
        <f>STDEV(C15:C17)/E15</f>
        <v>0.26422876344287466</v>
      </c>
      <c r="G15">
        <v>16</v>
      </c>
    </row>
    <row r="16" spans="1:10" x14ac:dyDescent="0.25">
      <c r="A16" t="s">
        <v>178</v>
      </c>
      <c r="B16">
        <v>837</v>
      </c>
      <c r="C16" s="4">
        <f>(B16*391)/(2220000*49.2)*1000/'Esc Masses 1.0 28'!D14</f>
        <v>3057.4408405418808</v>
      </c>
      <c r="D16" s="5">
        <f>(B16*391)/(2220000*49.2)*1000/'Esc Masses 1.0 28'!E14</f>
        <v>0.23048400182546525</v>
      </c>
      <c r="G16">
        <v>16</v>
      </c>
    </row>
    <row r="17" spans="1:15" x14ac:dyDescent="0.25">
      <c r="A17" t="s">
        <v>179</v>
      </c>
      <c r="B17">
        <v>1242</v>
      </c>
      <c r="C17" s="4">
        <f>(B17*391)/(2220000*49.2)*1000/'Esc Masses 1.0 28'!D15</f>
        <v>4583.6193246301427</v>
      </c>
      <c r="D17" s="5">
        <f>(B17*391)/(2220000*49.2)*1000/'Esc Masses 1.0 28'!E15</f>
        <v>0.31757933892080231</v>
      </c>
      <c r="G17">
        <v>16</v>
      </c>
    </row>
    <row r="18" spans="1:15" x14ac:dyDescent="0.25">
      <c r="A18" t="s">
        <v>90</v>
      </c>
      <c r="B18">
        <v>1709</v>
      </c>
      <c r="C18" s="4">
        <f>(B18*391)/(2220000*49.2)*1000/'Esc Masses 1.0 28'!D16</f>
        <v>5561.7063848770977</v>
      </c>
      <c r="D18" s="5">
        <f>(B18*391)/(2220000*49.2)*1000/'Esc Masses 1.0 28'!E16</f>
        <v>0.40785846822432187</v>
      </c>
      <c r="E18" s="4">
        <f>AVERAGE(C18:C20)</f>
        <v>4681.170453528176</v>
      </c>
      <c r="F18" s="27">
        <f>STDEV(C18:C20)/E18</f>
        <v>0.27070027566027199</v>
      </c>
      <c r="G18">
        <v>24</v>
      </c>
    </row>
    <row r="19" spans="1:15" x14ac:dyDescent="0.25">
      <c r="A19" t="s">
        <v>91</v>
      </c>
      <c r="B19">
        <v>1350</v>
      </c>
      <c r="C19" s="4">
        <f>(B19*391)/(2220000*49.2)*1000/'Esc Masses 1.0 28'!D17</f>
        <v>5252.9663810151769</v>
      </c>
      <c r="D19" s="5">
        <f>(B19*391)/(2220000*49.2)*1000/'Esc Masses 1.0 28'!E17</f>
        <v>0.30204556690837175</v>
      </c>
      <c r="G19">
        <v>24</v>
      </c>
    </row>
    <row r="20" spans="1:15" x14ac:dyDescent="0.25">
      <c r="A20" t="s">
        <v>92</v>
      </c>
      <c r="B20">
        <v>920</v>
      </c>
      <c r="C20" s="4">
        <f>(B20*391)/(2220000*49.2)*1000/'Esc Masses 1.0 28'!D18</f>
        <v>3228.8385946922531</v>
      </c>
      <c r="D20" s="5">
        <f>(B20*391)/(2220000*49.2)*1000/'Esc Masses 1.0 28'!E18</f>
        <v>0.23524395475614987</v>
      </c>
      <c r="G20">
        <v>24</v>
      </c>
    </row>
    <row r="21" spans="1:15" x14ac:dyDescent="0.25">
      <c r="A21" t="s">
        <v>93</v>
      </c>
      <c r="B21">
        <v>1529</v>
      </c>
      <c r="C21" s="4">
        <f>(B21*391)/(2220000*49.2)*1000/'Esc Masses 1.0 28'!D19</f>
        <v>6014.8496124105804</v>
      </c>
      <c r="D21" s="5">
        <f>(B21*391)/(2220000*49.2)*1000/'Esc Masses 1.0 28'!E19</f>
        <v>0.4210394728687411</v>
      </c>
      <c r="E21" s="4">
        <f>AVERAGE(C21:C23)</f>
        <v>7230.6100768837432</v>
      </c>
      <c r="F21" s="27">
        <f>STDEV(C21:C23)/E21</f>
        <v>0.24615980196126508</v>
      </c>
      <c r="G21">
        <v>36</v>
      </c>
    </row>
    <row r="22" spans="1:15" x14ac:dyDescent="0.25">
      <c r="A22" t="s">
        <v>94</v>
      </c>
      <c r="B22">
        <v>1592</v>
      </c>
      <c r="C22" s="4">
        <f>(B22*391)/(2220000*49.2)*1000/'Esc Masses 1.0 28'!D20</f>
        <v>6403.4162965376854</v>
      </c>
      <c r="D22" s="5">
        <f>(B22*391)/(2220000*49.2)*1000/'Esc Masses 1.0 28'!E20</f>
        <v>0.40707432170846802</v>
      </c>
      <c r="G22">
        <v>36</v>
      </c>
    </row>
    <row r="23" spans="1:15" x14ac:dyDescent="0.25">
      <c r="A23" t="s">
        <v>95</v>
      </c>
      <c r="B23">
        <v>2461</v>
      </c>
      <c r="C23" s="4">
        <f>(B23*391)/(2220000*49.2)*1000/'Esc Masses 1.0 28'!D21</f>
        <v>9273.5643217029647</v>
      </c>
      <c r="D23" s="5">
        <f>(B23*391)/(2220000*49.2)*1000/'Esc Masses 1.0 28'!E21</f>
        <v>0.58732574037452079</v>
      </c>
      <c r="G23">
        <v>36</v>
      </c>
    </row>
    <row r="24" spans="1:15" x14ac:dyDescent="0.25">
      <c r="A24" t="s">
        <v>99</v>
      </c>
      <c r="B24">
        <v>3</v>
      </c>
      <c r="C24" s="4">
        <f>(B24*391)/(2220000*49.2)*1000/'Esc Masses 1.0 28'!D22</f>
        <v>11.3046294047577</v>
      </c>
      <c r="D24" s="5">
        <f>(B24*391)/(2220000*49.2)*1000/'Esc Masses 1.0 28'!E22</f>
        <v>7.1595986230132578E-4</v>
      </c>
      <c r="E24" s="4">
        <f>AVERAGE(C24:C25)</f>
        <v>9.0294838641775605</v>
      </c>
      <c r="F24" s="27">
        <f>STDEV(C24:C26)/E24</f>
        <v>0.25683447471662868</v>
      </c>
    </row>
    <row r="25" spans="1:15" x14ac:dyDescent="0.25">
      <c r="A25" t="s">
        <v>100</v>
      </c>
      <c r="B25">
        <v>2</v>
      </c>
      <c r="C25" s="4">
        <f>(B25*391)/(2220000*49.2)*1000/'Esc Masses 1.0 28'!D23</f>
        <v>6.7543383235974233</v>
      </c>
      <c r="D25" s="5">
        <f>(B25*391)/(2220000*49.2)*1000/'Esc Masses 1.0 28'!E23</f>
        <v>5.1139990164380416E-4</v>
      </c>
    </row>
    <row r="26" spans="1:15" x14ac:dyDescent="0.25">
      <c r="A26" t="s">
        <v>101</v>
      </c>
      <c r="B26">
        <v>2</v>
      </c>
      <c r="C26" s="4">
        <f>(B26*391)/(2220000*49.2)*1000/'Esc Masses 1.0 28'!D24</f>
        <v>9.8076693465934834</v>
      </c>
      <c r="D26" s="5">
        <f>(B26*391)/(2220000*49.2)*1000/'Esc Masses 1.0 28'!E24</f>
        <v>4.7730657486755052E-4</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0</v>
      </c>
      <c r="C32">
        <v>0</v>
      </c>
      <c r="D32">
        <v>3</v>
      </c>
      <c r="E32">
        <v>1</v>
      </c>
      <c r="F32">
        <v>5</v>
      </c>
      <c r="G32" s="28">
        <f t="shared" ref="G32:G38" si="0">(E32)/(SUM(B32+C32+D32+E32+F32))</f>
        <v>0.1111111111111111</v>
      </c>
      <c r="I32" t="s">
        <v>102</v>
      </c>
      <c r="J32">
        <v>19</v>
      </c>
      <c r="L32">
        <v>0</v>
      </c>
      <c r="M32">
        <v>0</v>
      </c>
      <c r="N32">
        <v>0</v>
      </c>
      <c r="O32">
        <v>0</v>
      </c>
    </row>
    <row r="33" spans="1:15" x14ac:dyDescent="0.25">
      <c r="A33" t="s">
        <v>123</v>
      </c>
      <c r="B33">
        <v>268</v>
      </c>
      <c r="C33">
        <v>22</v>
      </c>
      <c r="D33">
        <v>56</v>
      </c>
      <c r="E33">
        <v>856</v>
      </c>
      <c r="F33">
        <v>0</v>
      </c>
      <c r="G33" s="28">
        <f t="shared" si="0"/>
        <v>0.71214642262895178</v>
      </c>
      <c r="L33">
        <v>0</v>
      </c>
      <c r="M33">
        <v>0</v>
      </c>
      <c r="N33">
        <v>0</v>
      </c>
      <c r="O33">
        <v>0</v>
      </c>
    </row>
    <row r="34" spans="1:15" x14ac:dyDescent="0.25">
      <c r="A34" t="s">
        <v>124</v>
      </c>
      <c r="B34">
        <v>428</v>
      </c>
      <c r="C34">
        <v>37</v>
      </c>
      <c r="D34">
        <v>56</v>
      </c>
      <c r="E34">
        <v>656</v>
      </c>
      <c r="F34">
        <v>3</v>
      </c>
      <c r="G34" s="28">
        <f t="shared" si="0"/>
        <v>0.55593220338983051</v>
      </c>
      <c r="L34">
        <v>0</v>
      </c>
      <c r="M34">
        <v>0</v>
      </c>
      <c r="N34">
        <v>0</v>
      </c>
      <c r="O34">
        <v>0</v>
      </c>
    </row>
    <row r="35" spans="1:15" x14ac:dyDescent="0.25">
      <c r="A35" t="s">
        <v>125</v>
      </c>
      <c r="B35">
        <v>503</v>
      </c>
      <c r="C35">
        <v>36</v>
      </c>
      <c r="D35">
        <v>55</v>
      </c>
      <c r="E35">
        <v>371</v>
      </c>
      <c r="F35">
        <v>1</v>
      </c>
      <c r="G35" s="28">
        <f t="shared" si="0"/>
        <v>0.38405797101449274</v>
      </c>
      <c r="L35">
        <v>3</v>
      </c>
      <c r="M35">
        <v>1308</v>
      </c>
      <c r="N35" s="4">
        <f>M35*0.71</f>
        <v>928.68</v>
      </c>
      <c r="O35" s="4">
        <f t="shared" ref="O35:O52" si="1">M35-N35</f>
        <v>379.32000000000005</v>
      </c>
    </row>
    <row r="36" spans="1:15" x14ac:dyDescent="0.25">
      <c r="A36" t="s">
        <v>180</v>
      </c>
      <c r="B36">
        <v>647</v>
      </c>
      <c r="C36">
        <v>55</v>
      </c>
      <c r="D36">
        <v>68</v>
      </c>
      <c r="E36">
        <v>444</v>
      </c>
      <c r="F36">
        <v>4</v>
      </c>
      <c r="G36" s="28">
        <f t="shared" si="0"/>
        <v>0.3645320197044335</v>
      </c>
      <c r="L36">
        <v>3</v>
      </c>
      <c r="M36">
        <v>2610</v>
      </c>
      <c r="N36" s="4">
        <f t="shared" ref="N36:N37" si="2">M36*0.71</f>
        <v>1853.1</v>
      </c>
      <c r="O36" s="4">
        <f t="shared" si="1"/>
        <v>756.90000000000009</v>
      </c>
    </row>
    <row r="37" spans="1:15" x14ac:dyDescent="0.25">
      <c r="A37" t="s">
        <v>126</v>
      </c>
      <c r="B37">
        <v>1044</v>
      </c>
      <c r="C37">
        <v>100</v>
      </c>
      <c r="D37">
        <v>90</v>
      </c>
      <c r="E37">
        <v>408</v>
      </c>
      <c r="F37">
        <v>7</v>
      </c>
      <c r="G37" s="28">
        <f t="shared" si="0"/>
        <v>0.24742268041237114</v>
      </c>
      <c r="L37">
        <v>3</v>
      </c>
      <c r="M37">
        <v>1751</v>
      </c>
      <c r="N37" s="4">
        <f t="shared" si="2"/>
        <v>1243.21</v>
      </c>
      <c r="O37" s="4">
        <f t="shared" si="1"/>
        <v>507.78999999999996</v>
      </c>
    </row>
    <row r="38" spans="1:15" x14ac:dyDescent="0.25">
      <c r="A38" t="s">
        <v>127</v>
      </c>
      <c r="B38">
        <v>1544</v>
      </c>
      <c r="C38">
        <v>170</v>
      </c>
      <c r="D38">
        <v>105</v>
      </c>
      <c r="E38">
        <v>344</v>
      </c>
      <c r="F38">
        <v>7</v>
      </c>
      <c r="G38" s="28">
        <f t="shared" si="0"/>
        <v>0.15852534562211981</v>
      </c>
      <c r="L38">
        <v>6</v>
      </c>
      <c r="M38">
        <v>2429</v>
      </c>
      <c r="N38" s="4">
        <f>M38*0.56</f>
        <v>1360.2400000000002</v>
      </c>
      <c r="O38" s="4">
        <f t="shared" si="1"/>
        <v>1068.7599999999998</v>
      </c>
    </row>
    <row r="39" spans="1:15" x14ac:dyDescent="0.25">
      <c r="L39">
        <v>6</v>
      </c>
      <c r="M39">
        <v>2702</v>
      </c>
      <c r="N39" s="4">
        <f t="shared" ref="N39:N40" si="3">M39*0.56</f>
        <v>1513.1200000000001</v>
      </c>
      <c r="O39" s="4">
        <f t="shared" si="1"/>
        <v>1188.8799999999999</v>
      </c>
    </row>
    <row r="40" spans="1:15" x14ac:dyDescent="0.25">
      <c r="L40">
        <v>6</v>
      </c>
      <c r="M40">
        <v>2561</v>
      </c>
      <c r="N40" s="4">
        <f t="shared" si="3"/>
        <v>1434.16</v>
      </c>
      <c r="O40" s="4">
        <f t="shared" si="1"/>
        <v>1126.8399999999999</v>
      </c>
    </row>
    <row r="41" spans="1:15" x14ac:dyDescent="0.25">
      <c r="L41">
        <v>12</v>
      </c>
      <c r="M41">
        <v>2994</v>
      </c>
      <c r="N41" s="4">
        <f>M41*0.38</f>
        <v>1137.72</v>
      </c>
      <c r="O41" s="4">
        <f t="shared" si="1"/>
        <v>1856.28</v>
      </c>
    </row>
    <row r="42" spans="1:15" x14ac:dyDescent="0.25">
      <c r="L42">
        <v>12</v>
      </c>
      <c r="M42">
        <v>2435</v>
      </c>
      <c r="N42" s="4">
        <f t="shared" ref="N42:N43" si="4">M42*0.38</f>
        <v>925.3</v>
      </c>
      <c r="O42" s="4">
        <f t="shared" si="1"/>
        <v>1509.7</v>
      </c>
    </row>
    <row r="43" spans="1:15" x14ac:dyDescent="0.25">
      <c r="L43">
        <v>12</v>
      </c>
      <c r="M43">
        <v>2280</v>
      </c>
      <c r="N43" s="4">
        <f t="shared" si="4"/>
        <v>866.4</v>
      </c>
      <c r="O43" s="4">
        <f t="shared" si="1"/>
        <v>1413.6</v>
      </c>
    </row>
    <row r="44" spans="1:15" x14ac:dyDescent="0.25">
      <c r="L44">
        <v>16</v>
      </c>
      <c r="M44">
        <v>2904</v>
      </c>
      <c r="N44" s="4">
        <f>M44*0.36</f>
        <v>1045.44</v>
      </c>
      <c r="O44" s="4">
        <f t="shared" si="1"/>
        <v>1858.56</v>
      </c>
    </row>
    <row r="45" spans="1:15" x14ac:dyDescent="0.25">
      <c r="L45">
        <v>16</v>
      </c>
      <c r="M45">
        <v>3057</v>
      </c>
      <c r="N45" s="4">
        <f t="shared" ref="N45:N46" si="5">M45*0.36</f>
        <v>1100.52</v>
      </c>
      <c r="O45" s="4">
        <f t="shared" si="1"/>
        <v>1956.48</v>
      </c>
    </row>
    <row r="46" spans="1:15" x14ac:dyDescent="0.25">
      <c r="L46">
        <v>16</v>
      </c>
      <c r="M46">
        <v>4584</v>
      </c>
      <c r="N46" s="4">
        <f t="shared" si="5"/>
        <v>1650.24</v>
      </c>
      <c r="O46" s="4">
        <f t="shared" si="1"/>
        <v>2933.76</v>
      </c>
    </row>
    <row r="47" spans="1:15" x14ac:dyDescent="0.25">
      <c r="L47">
        <v>24</v>
      </c>
      <c r="M47">
        <v>5562</v>
      </c>
      <c r="N47" s="4">
        <f>M47*0.25</f>
        <v>1390.5</v>
      </c>
      <c r="O47" s="4">
        <f t="shared" si="1"/>
        <v>4171.5</v>
      </c>
    </row>
    <row r="48" spans="1:15" x14ac:dyDescent="0.25">
      <c r="L48">
        <v>24</v>
      </c>
      <c r="M48">
        <v>5253</v>
      </c>
      <c r="N48" s="4">
        <f t="shared" ref="N48:N49" si="6">M48*0.25</f>
        <v>1313.25</v>
      </c>
      <c r="O48" s="4">
        <f t="shared" si="1"/>
        <v>3939.75</v>
      </c>
    </row>
    <row r="49" spans="12:15" x14ac:dyDescent="0.25">
      <c r="L49">
        <v>24</v>
      </c>
      <c r="M49">
        <v>3229</v>
      </c>
      <c r="N49" s="4">
        <f t="shared" si="6"/>
        <v>807.25</v>
      </c>
      <c r="O49" s="4">
        <f t="shared" si="1"/>
        <v>2421.75</v>
      </c>
    </row>
    <row r="50" spans="12:15" x14ac:dyDescent="0.25">
      <c r="L50">
        <v>36</v>
      </c>
      <c r="M50">
        <v>6015</v>
      </c>
      <c r="N50" s="4">
        <f>M50*0.16</f>
        <v>962.4</v>
      </c>
      <c r="O50" s="4">
        <f t="shared" si="1"/>
        <v>5052.6000000000004</v>
      </c>
    </row>
    <row r="51" spans="12:15" x14ac:dyDescent="0.25">
      <c r="L51">
        <v>36</v>
      </c>
      <c r="M51">
        <v>6403</v>
      </c>
      <c r="N51" s="4">
        <f t="shared" ref="N51:N52" si="7">M51*0.16</f>
        <v>1024.48</v>
      </c>
      <c r="O51" s="4">
        <f t="shared" si="1"/>
        <v>5378.52</v>
      </c>
    </row>
    <row r="52" spans="12:15" x14ac:dyDescent="0.25">
      <c r="L52">
        <v>36</v>
      </c>
      <c r="M52">
        <v>9274</v>
      </c>
      <c r="N52" s="4">
        <f t="shared" si="7"/>
        <v>1483.84</v>
      </c>
      <c r="O52" s="4">
        <f t="shared" si="1"/>
        <v>7790.16</v>
      </c>
    </row>
  </sheetData>
  <pageMargins left="0.75" right="0.75" top="1" bottom="1" header="0.5" footer="0.5"/>
  <pageSetup orientation="portrait" horizontalDpi="4294967292" verticalDpi="4294967292"/>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sheetPr>
  <dimension ref="A1:J43"/>
  <sheetViews>
    <sheetView workbookViewId="0">
      <selection activeCell="C27" sqref="C27"/>
    </sheetView>
  </sheetViews>
  <sheetFormatPr defaultColWidth="11" defaultRowHeight="15.75" x14ac:dyDescent="0.25"/>
  <cols>
    <col min="2" max="2" width="22.5" customWidth="1"/>
    <col min="3" max="3" width="8.5" customWidth="1"/>
    <col min="6" max="6" width="12.125" customWidth="1"/>
  </cols>
  <sheetData>
    <row r="1" spans="1:10" x14ac:dyDescent="0.25">
      <c r="C1" t="s">
        <v>102</v>
      </c>
      <c r="D1">
        <v>19</v>
      </c>
      <c r="E1">
        <v>21</v>
      </c>
    </row>
    <row r="3" spans="1:10" x14ac:dyDescent="0.25">
      <c r="A3" t="s">
        <v>75</v>
      </c>
      <c r="B3" t="s">
        <v>129</v>
      </c>
      <c r="C3" t="s">
        <v>130</v>
      </c>
      <c r="D3" t="s">
        <v>131</v>
      </c>
      <c r="E3" t="s">
        <v>132</v>
      </c>
      <c r="F3" t="s">
        <v>133</v>
      </c>
      <c r="H3" t="s">
        <v>134</v>
      </c>
    </row>
    <row r="4" spans="1:10" x14ac:dyDescent="0.25">
      <c r="A4" t="s">
        <v>136</v>
      </c>
      <c r="B4">
        <v>7</v>
      </c>
      <c r="C4">
        <f>B4/10</f>
        <v>0.7</v>
      </c>
      <c r="D4" s="4">
        <f>(C4*391*1000)/(2220000*10.9)</f>
        <v>1.1310852136540209E-2</v>
      </c>
      <c r="E4" s="4"/>
      <c r="J4" s="19"/>
    </row>
    <row r="5" spans="1:10" x14ac:dyDescent="0.25">
      <c r="A5" t="s">
        <v>137</v>
      </c>
      <c r="B5">
        <v>239</v>
      </c>
      <c r="C5">
        <f t="shared" ref="C5:C31" si="0">B5/2000</f>
        <v>0.1195</v>
      </c>
      <c r="D5" s="2">
        <f t="shared" ref="D5:D31" si="1">(C5*391*1000)/(2220000*49.2)</f>
        <v>4.2778601772504212E-4</v>
      </c>
      <c r="E5" s="4">
        <f t="shared" ref="E5:E31" si="2">D5*1000*1000</f>
        <v>427.78601772504209</v>
      </c>
    </row>
    <row r="6" spans="1:10" x14ac:dyDescent="0.25">
      <c r="A6" t="s">
        <v>138</v>
      </c>
      <c r="B6">
        <v>207</v>
      </c>
      <c r="C6">
        <f t="shared" si="0"/>
        <v>0.10349999999999999</v>
      </c>
      <c r="D6" s="2">
        <f t="shared" si="1"/>
        <v>3.7050922874093606E-4</v>
      </c>
      <c r="E6" s="4">
        <f t="shared" si="2"/>
        <v>370.50922874093607</v>
      </c>
    </row>
    <row r="7" spans="1:10" x14ac:dyDescent="0.25">
      <c r="A7" t="s">
        <v>139</v>
      </c>
      <c r="B7">
        <v>149</v>
      </c>
      <c r="C7">
        <f t="shared" si="0"/>
        <v>7.4499999999999997E-2</v>
      </c>
      <c r="D7" s="2">
        <f t="shared" si="1"/>
        <v>2.6669504870724381E-4</v>
      </c>
      <c r="E7" s="4">
        <f t="shared" si="2"/>
        <v>266.69504870724381</v>
      </c>
    </row>
    <row r="8" spans="1:10" x14ac:dyDescent="0.25">
      <c r="A8" t="s">
        <v>181</v>
      </c>
      <c r="B8">
        <v>166</v>
      </c>
      <c r="C8">
        <f t="shared" si="0"/>
        <v>8.3000000000000004E-2</v>
      </c>
      <c r="D8" s="2">
        <f t="shared" si="1"/>
        <v>2.9712334285505023E-4</v>
      </c>
      <c r="E8" s="4">
        <f t="shared" si="2"/>
        <v>297.12334285505023</v>
      </c>
    </row>
    <row r="9" spans="1:10" x14ac:dyDescent="0.25">
      <c r="A9" t="s">
        <v>140</v>
      </c>
      <c r="B9">
        <v>172</v>
      </c>
      <c r="C9">
        <f t="shared" si="0"/>
        <v>8.5999999999999993E-2</v>
      </c>
      <c r="D9" s="2">
        <f t="shared" si="1"/>
        <v>3.0786274078957004E-4</v>
      </c>
      <c r="E9" s="4">
        <f t="shared" si="2"/>
        <v>307.86274078957007</v>
      </c>
    </row>
    <row r="10" spans="1:10" x14ac:dyDescent="0.25">
      <c r="A10" t="s">
        <v>141</v>
      </c>
      <c r="B10">
        <v>165</v>
      </c>
      <c r="C10">
        <f t="shared" si="0"/>
        <v>8.2500000000000004E-2</v>
      </c>
      <c r="D10" s="2">
        <f t="shared" si="1"/>
        <v>2.9533344319929687E-4</v>
      </c>
      <c r="E10" s="4">
        <f t="shared" si="2"/>
        <v>295.33344319929688</v>
      </c>
    </row>
    <row r="11" spans="1:10" x14ac:dyDescent="0.25">
      <c r="A11" t="s">
        <v>143</v>
      </c>
      <c r="B11">
        <v>239</v>
      </c>
      <c r="C11">
        <f t="shared" si="0"/>
        <v>0.1195</v>
      </c>
      <c r="D11" s="2">
        <f t="shared" si="1"/>
        <v>4.2778601772504212E-4</v>
      </c>
      <c r="E11" s="4">
        <f t="shared" si="2"/>
        <v>427.78601772504209</v>
      </c>
      <c r="F11" s="4">
        <f>AVERAGE(E11:E13)</f>
        <v>313.82907297541442</v>
      </c>
      <c r="G11" s="27">
        <f>STDEV(E11:E13)/F11</f>
        <v>0.3224493772525735</v>
      </c>
      <c r="H11" s="13">
        <f t="shared" ref="H11:H28" si="3">E11/1000</f>
        <v>0.4277860177250421</v>
      </c>
      <c r="I11">
        <v>3</v>
      </c>
    </row>
    <row r="12" spans="1:10" x14ac:dyDescent="0.25">
      <c r="A12" t="s">
        <v>144</v>
      </c>
      <c r="B12">
        <v>156</v>
      </c>
      <c r="C12">
        <f t="shared" si="0"/>
        <v>7.8E-2</v>
      </c>
      <c r="D12" s="2">
        <f t="shared" si="1"/>
        <v>2.7922434629751704E-4</v>
      </c>
      <c r="E12" s="4">
        <f t="shared" si="2"/>
        <v>279.224346297517</v>
      </c>
      <c r="H12" s="13">
        <f t="shared" si="3"/>
        <v>0.27922434629751702</v>
      </c>
      <c r="I12">
        <v>3</v>
      </c>
    </row>
    <row r="13" spans="1:10" x14ac:dyDescent="0.25">
      <c r="A13" t="s">
        <v>145</v>
      </c>
      <c r="B13">
        <v>131</v>
      </c>
      <c r="C13">
        <f t="shared" si="0"/>
        <v>6.5500000000000003E-2</v>
      </c>
      <c r="D13" s="2">
        <f t="shared" si="1"/>
        <v>2.3447685490368418E-4</v>
      </c>
      <c r="E13" s="4">
        <f t="shared" si="2"/>
        <v>234.47685490368417</v>
      </c>
      <c r="H13" s="13">
        <f t="shared" si="3"/>
        <v>0.23447685490368417</v>
      </c>
      <c r="I13">
        <v>3</v>
      </c>
    </row>
    <row r="14" spans="1:10" x14ac:dyDescent="0.25">
      <c r="A14" t="s">
        <v>146</v>
      </c>
      <c r="B14">
        <v>182</v>
      </c>
      <c r="C14">
        <f t="shared" si="0"/>
        <v>9.0999999999999998E-2</v>
      </c>
      <c r="D14" s="2">
        <f t="shared" si="1"/>
        <v>3.2576173734710312E-4</v>
      </c>
      <c r="E14" s="4">
        <f t="shared" si="2"/>
        <v>325.76173734710312</v>
      </c>
      <c r="F14" s="4">
        <f>AVERAGE(E14:E16)</f>
        <v>278.62771307893257</v>
      </c>
      <c r="G14" s="27">
        <f>STDEV(E14:E16)/F14</f>
        <v>0.14932593894313625</v>
      </c>
      <c r="H14" s="13">
        <f t="shared" si="3"/>
        <v>0.32576173734710312</v>
      </c>
      <c r="I14">
        <v>6</v>
      </c>
    </row>
    <row r="15" spans="1:10" x14ac:dyDescent="0.25">
      <c r="A15" t="s">
        <v>147</v>
      </c>
      <c r="B15">
        <v>138</v>
      </c>
      <c r="C15">
        <f t="shared" si="0"/>
        <v>6.9000000000000006E-2</v>
      </c>
      <c r="D15" s="2">
        <f t="shared" si="1"/>
        <v>2.4700615249395743E-4</v>
      </c>
      <c r="E15" s="4">
        <f t="shared" si="2"/>
        <v>247.00615249395744</v>
      </c>
      <c r="H15" s="13">
        <f t="shared" si="3"/>
        <v>0.24700615249395744</v>
      </c>
      <c r="I15">
        <v>6</v>
      </c>
    </row>
    <row r="16" spans="1:10" x14ac:dyDescent="0.25">
      <c r="A16" t="s">
        <v>148</v>
      </c>
      <c r="B16">
        <v>147</v>
      </c>
      <c r="C16">
        <f t="shared" si="0"/>
        <v>7.3499999999999996E-2</v>
      </c>
      <c r="D16" s="2">
        <f t="shared" si="1"/>
        <v>2.6311524939573721E-4</v>
      </c>
      <c r="E16" s="4">
        <f t="shared" si="2"/>
        <v>263.11524939573724</v>
      </c>
      <c r="H16" s="13">
        <f t="shared" si="3"/>
        <v>0.26311524939573722</v>
      </c>
      <c r="I16">
        <v>6</v>
      </c>
    </row>
    <row r="17" spans="1:9" x14ac:dyDescent="0.25">
      <c r="A17" t="s">
        <v>149</v>
      </c>
      <c r="B17">
        <v>118</v>
      </c>
      <c r="C17">
        <f t="shared" si="0"/>
        <v>5.8999999999999997E-2</v>
      </c>
      <c r="D17" s="2">
        <f t="shared" si="1"/>
        <v>2.1120815937889108E-4</v>
      </c>
      <c r="E17" s="4">
        <f t="shared" si="2"/>
        <v>211.20815937889108</v>
      </c>
      <c r="F17" s="4">
        <f>AVERAGE(E17:E19)</f>
        <v>217.77112478331992</v>
      </c>
      <c r="G17" s="27">
        <f>STDEV(E17:E19)/F17</f>
        <v>2.8864804802336236E-2</v>
      </c>
      <c r="H17" s="13">
        <f t="shared" si="3"/>
        <v>0.21120815937889109</v>
      </c>
      <c r="I17">
        <v>12</v>
      </c>
    </row>
    <row r="18" spans="1:9" x14ac:dyDescent="0.25">
      <c r="A18" t="s">
        <v>150</v>
      </c>
      <c r="B18">
        <v>122</v>
      </c>
      <c r="C18">
        <f t="shared" si="0"/>
        <v>6.0999999999999999E-2</v>
      </c>
      <c r="D18" s="2">
        <f t="shared" si="1"/>
        <v>2.1836775800190435E-4</v>
      </c>
      <c r="E18" s="4">
        <f t="shared" si="2"/>
        <v>218.36775800190432</v>
      </c>
      <c r="H18" s="13">
        <f t="shared" si="3"/>
        <v>0.21836775800190433</v>
      </c>
      <c r="I18">
        <v>12</v>
      </c>
    </row>
    <row r="19" spans="1:9" x14ac:dyDescent="0.25">
      <c r="A19" t="s">
        <v>151</v>
      </c>
      <c r="B19">
        <v>125</v>
      </c>
      <c r="C19">
        <f t="shared" si="0"/>
        <v>6.25E-2</v>
      </c>
      <c r="D19" s="2">
        <f t="shared" si="1"/>
        <v>2.2373745696916428E-4</v>
      </c>
      <c r="E19" s="4">
        <f t="shared" si="2"/>
        <v>223.73745696916427</v>
      </c>
      <c r="H19" s="13">
        <f t="shared" si="3"/>
        <v>0.22373745696916428</v>
      </c>
      <c r="I19">
        <v>12</v>
      </c>
    </row>
    <row r="20" spans="1:9" x14ac:dyDescent="0.25">
      <c r="A20" t="s">
        <v>182</v>
      </c>
      <c r="B20">
        <v>147</v>
      </c>
      <c r="C20">
        <f t="shared" si="0"/>
        <v>7.3499999999999996E-2</v>
      </c>
      <c r="D20" s="2">
        <f t="shared" si="1"/>
        <v>2.6311524939573721E-4</v>
      </c>
      <c r="E20" s="4">
        <f t="shared" si="2"/>
        <v>263.11524939573724</v>
      </c>
      <c r="F20" s="4">
        <f>AVERAGE(E20:E22)</f>
        <v>255.35901755413951</v>
      </c>
      <c r="G20" s="27">
        <f>STDEV(E20:E22)/F20</f>
        <v>7.8157610671391278E-2</v>
      </c>
      <c r="H20" s="13">
        <f t="shared" si="3"/>
        <v>0.26311524939573722</v>
      </c>
      <c r="I20">
        <v>16</v>
      </c>
    </row>
    <row r="21" spans="1:9" x14ac:dyDescent="0.25">
      <c r="A21" t="s">
        <v>183</v>
      </c>
      <c r="B21">
        <v>130</v>
      </c>
      <c r="C21">
        <f t="shared" si="0"/>
        <v>6.5000000000000002E-2</v>
      </c>
      <c r="D21" s="2">
        <f t="shared" si="1"/>
        <v>2.3268695524793085E-4</v>
      </c>
      <c r="E21" s="4">
        <f t="shared" si="2"/>
        <v>232.68695524793085</v>
      </c>
      <c r="H21" s="13">
        <f t="shared" si="3"/>
        <v>0.23268695524793084</v>
      </c>
      <c r="I21">
        <v>16</v>
      </c>
    </row>
    <row r="22" spans="1:9" x14ac:dyDescent="0.25">
      <c r="A22" t="s">
        <v>184</v>
      </c>
      <c r="B22">
        <v>151</v>
      </c>
      <c r="C22">
        <f t="shared" si="0"/>
        <v>7.5499999999999998E-2</v>
      </c>
      <c r="D22" s="2">
        <f t="shared" si="1"/>
        <v>2.7027484801875047E-4</v>
      </c>
      <c r="E22" s="4">
        <f t="shared" si="2"/>
        <v>270.27484801875045</v>
      </c>
      <c r="H22" s="13">
        <f t="shared" si="3"/>
        <v>0.27027484801875046</v>
      </c>
      <c r="I22">
        <v>16</v>
      </c>
    </row>
    <row r="23" spans="1:9" x14ac:dyDescent="0.25">
      <c r="A23" t="s">
        <v>152</v>
      </c>
      <c r="B23">
        <v>128</v>
      </c>
      <c r="C23">
        <f t="shared" si="0"/>
        <v>6.4000000000000001E-2</v>
      </c>
      <c r="D23" s="2">
        <f t="shared" si="1"/>
        <v>2.2910715593642424E-4</v>
      </c>
      <c r="E23" s="4">
        <f t="shared" si="2"/>
        <v>229.10715593642425</v>
      </c>
      <c r="F23" s="4">
        <f>AVERAGE(E23:E25)</f>
        <v>230.89705559217757</v>
      </c>
      <c r="G23" s="27">
        <f>STDEV(E23:E25)/F23</f>
        <v>5.0832856777534824E-2</v>
      </c>
      <c r="H23" s="13">
        <f t="shared" si="3"/>
        <v>0.22910715593642425</v>
      </c>
      <c r="I23">
        <v>24</v>
      </c>
    </row>
    <row r="24" spans="1:9" x14ac:dyDescent="0.25">
      <c r="A24" t="s">
        <v>153</v>
      </c>
      <c r="B24">
        <v>136</v>
      </c>
      <c r="C24">
        <f t="shared" si="0"/>
        <v>6.8000000000000005E-2</v>
      </c>
      <c r="D24" s="2">
        <f t="shared" si="1"/>
        <v>2.4342635318245074E-4</v>
      </c>
      <c r="E24" s="4">
        <f t="shared" si="2"/>
        <v>243.42635318245073</v>
      </c>
      <c r="H24" s="13">
        <f t="shared" si="3"/>
        <v>0.24342635318245073</v>
      </c>
      <c r="I24">
        <v>24</v>
      </c>
    </row>
    <row r="25" spans="1:9" x14ac:dyDescent="0.25">
      <c r="A25" t="s">
        <v>154</v>
      </c>
      <c r="B25">
        <v>123</v>
      </c>
      <c r="C25">
        <f t="shared" si="0"/>
        <v>6.1499999999999999E-2</v>
      </c>
      <c r="D25" s="2">
        <f t="shared" si="1"/>
        <v>2.2015765765765765E-4</v>
      </c>
      <c r="E25" s="4">
        <f t="shared" si="2"/>
        <v>220.15765765765767</v>
      </c>
      <c r="H25" s="13">
        <f t="shared" si="3"/>
        <v>0.22015765765765766</v>
      </c>
      <c r="I25">
        <v>24</v>
      </c>
    </row>
    <row r="26" spans="1:9" x14ac:dyDescent="0.25">
      <c r="A26" t="s">
        <v>155</v>
      </c>
      <c r="B26">
        <v>120</v>
      </c>
      <c r="C26">
        <f t="shared" si="0"/>
        <v>0.06</v>
      </c>
      <c r="D26" s="2">
        <f t="shared" si="1"/>
        <v>2.1478795869039771E-4</v>
      </c>
      <c r="E26" s="4">
        <f t="shared" si="2"/>
        <v>214.78795869039772</v>
      </c>
      <c r="F26" s="4">
        <f>AVERAGE(E26:E28)</f>
        <v>220.15765765765764</v>
      </c>
      <c r="G26" s="27">
        <f>STDEV(E26:E28)/F26</f>
        <v>9.585224489879339E-2</v>
      </c>
      <c r="H26" s="13">
        <f t="shared" si="3"/>
        <v>0.21478795869039771</v>
      </c>
      <c r="I26">
        <v>36</v>
      </c>
    </row>
    <row r="27" spans="1:9" x14ac:dyDescent="0.25">
      <c r="A27" t="s">
        <v>156</v>
      </c>
      <c r="B27">
        <v>113</v>
      </c>
      <c r="C27">
        <f t="shared" si="0"/>
        <v>5.6500000000000002E-2</v>
      </c>
      <c r="D27" s="2">
        <f t="shared" si="1"/>
        <v>2.0225866110012451E-4</v>
      </c>
      <c r="E27" s="4">
        <f t="shared" si="2"/>
        <v>202.25866110012453</v>
      </c>
      <c r="H27" s="13">
        <f t="shared" si="3"/>
        <v>0.20225866110012453</v>
      </c>
      <c r="I27">
        <v>36</v>
      </c>
    </row>
    <row r="28" spans="1:9" x14ac:dyDescent="0.25">
      <c r="A28" t="s">
        <v>157</v>
      </c>
      <c r="B28">
        <v>136</v>
      </c>
      <c r="C28">
        <f t="shared" si="0"/>
        <v>6.8000000000000005E-2</v>
      </c>
      <c r="D28" s="2">
        <f t="shared" si="1"/>
        <v>2.4342635318245074E-4</v>
      </c>
      <c r="E28" s="4">
        <f t="shared" si="2"/>
        <v>243.42635318245073</v>
      </c>
      <c r="H28" s="13">
        <f t="shared" si="3"/>
        <v>0.24342635318245073</v>
      </c>
      <c r="I28">
        <v>36</v>
      </c>
    </row>
    <row r="29" spans="1:9" x14ac:dyDescent="0.25">
      <c r="A29" t="s">
        <v>99</v>
      </c>
      <c r="B29">
        <v>0</v>
      </c>
      <c r="C29">
        <f t="shared" si="0"/>
        <v>0</v>
      </c>
      <c r="D29" s="2">
        <f t="shared" si="1"/>
        <v>0</v>
      </c>
      <c r="E29" s="4">
        <f t="shared" si="2"/>
        <v>0</v>
      </c>
      <c r="F29" s="4">
        <f>AVERAGE(E29:E31)</f>
        <v>2.3865328743377527</v>
      </c>
    </row>
    <row r="30" spans="1:9" x14ac:dyDescent="0.25">
      <c r="A30" t="s">
        <v>100</v>
      </c>
      <c r="B30">
        <v>2</v>
      </c>
      <c r="C30">
        <f t="shared" si="0"/>
        <v>1E-3</v>
      </c>
      <c r="D30" s="2">
        <f t="shared" si="1"/>
        <v>3.5797993115066288E-6</v>
      </c>
      <c r="E30" s="4">
        <f t="shared" si="2"/>
        <v>3.5797993115066289</v>
      </c>
    </row>
    <row r="31" spans="1:9" x14ac:dyDescent="0.25">
      <c r="A31" t="s">
        <v>101</v>
      </c>
      <c r="B31">
        <v>2</v>
      </c>
      <c r="C31">
        <f t="shared" si="0"/>
        <v>1E-3</v>
      </c>
      <c r="D31" s="2">
        <f t="shared" si="1"/>
        <v>3.5797993115066288E-6</v>
      </c>
      <c r="E31" s="4">
        <f t="shared" si="2"/>
        <v>3.5797993115066289</v>
      </c>
    </row>
    <row r="32" spans="1:9" x14ac:dyDescent="0.25">
      <c r="D32" s="2"/>
      <c r="E32" s="4"/>
    </row>
    <row r="33" spans="1:5" x14ac:dyDescent="0.25">
      <c r="D33" s="2"/>
      <c r="E33" s="4"/>
    </row>
    <row r="34" spans="1:5" x14ac:dyDescent="0.25">
      <c r="A34" s="14" t="s">
        <v>164</v>
      </c>
      <c r="B34" s="14">
        <f t="array" ref="B34:C38">LINEST(E11:E28,I11:I28,TRUE,TRUE)</f>
        <v>-2.3230584299835653</v>
      </c>
      <c r="C34" s="15">
        <v>290.32971822500787</v>
      </c>
      <c r="D34" s="16" t="s">
        <v>165</v>
      </c>
      <c r="E34" s="17"/>
    </row>
    <row r="35" spans="1:5" x14ac:dyDescent="0.25">
      <c r="A35" s="14" t="s">
        <v>166</v>
      </c>
      <c r="B35" s="14">
        <v>0.99201617688916044</v>
      </c>
      <c r="C35" s="15">
        <v>19.49423270526044</v>
      </c>
      <c r="D35" s="16" t="s">
        <v>166</v>
      </c>
      <c r="E35" s="17"/>
    </row>
    <row r="36" spans="1:5" x14ac:dyDescent="0.25">
      <c r="A36" s="14" t="s">
        <v>167</v>
      </c>
      <c r="B36" s="14">
        <v>0.25525329893498322</v>
      </c>
      <c r="C36" s="15">
        <v>47.018845986357263</v>
      </c>
      <c r="D36" s="16" t="s">
        <v>168</v>
      </c>
      <c r="E36" s="17"/>
    </row>
    <row r="37" spans="1:5" x14ac:dyDescent="0.25">
      <c r="A37" s="14" t="s">
        <v>169</v>
      </c>
      <c r="B37" s="14">
        <v>5.4838145333431854</v>
      </c>
      <c r="C37" s="15">
        <v>16</v>
      </c>
      <c r="D37" s="16" t="s">
        <v>170</v>
      </c>
      <c r="E37" s="17"/>
    </row>
    <row r="38" spans="1:5" x14ac:dyDescent="0.25">
      <c r="A38" s="14" t="s">
        <v>171</v>
      </c>
      <c r="B38" s="14">
        <v>12123.46295387292</v>
      </c>
      <c r="C38" s="15">
        <v>35372.350046220548</v>
      </c>
      <c r="D38" s="16" t="s">
        <v>172</v>
      </c>
      <c r="E38" s="17"/>
    </row>
    <row r="39" spans="1:5" x14ac:dyDescent="0.25">
      <c r="D39" s="2"/>
      <c r="E39" s="4"/>
    </row>
    <row r="40" spans="1:5" x14ac:dyDescent="0.25">
      <c r="D40" s="2"/>
      <c r="E40" s="4"/>
    </row>
    <row r="41" spans="1:5" x14ac:dyDescent="0.25">
      <c r="A41" s="14" t="s">
        <v>173</v>
      </c>
      <c r="B41" s="14">
        <f>B34/B35</f>
        <v>-2.3417545843540455</v>
      </c>
      <c r="D41" s="2"/>
      <c r="E41" s="4"/>
    </row>
    <row r="42" spans="1:5" x14ac:dyDescent="0.25">
      <c r="A42" s="14" t="s">
        <v>174</v>
      </c>
      <c r="B42" s="14">
        <f>TDIST(ABS(B41),C37,2)</f>
        <v>3.2460698694101682E-2</v>
      </c>
      <c r="C42" t="s">
        <v>190</v>
      </c>
      <c r="D42" s="2"/>
      <c r="E42" s="4"/>
    </row>
    <row r="43" spans="1:5" x14ac:dyDescent="0.25">
      <c r="D43" s="2"/>
      <c r="E43" s="4"/>
    </row>
  </sheetData>
  <pageMargins left="0.75" right="0.75" top="1" bottom="1" header="0.5" footer="0.5"/>
  <pageSetup orientation="portrait" horizontalDpi="4294967292" verticalDpi="4294967292"/>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sheetPr>
  <dimension ref="A1:F24"/>
  <sheetViews>
    <sheetView workbookViewId="0">
      <selection activeCell="C27" sqref="C27"/>
    </sheetView>
  </sheetViews>
  <sheetFormatPr defaultColWidth="11" defaultRowHeight="15.75" x14ac:dyDescent="0.25"/>
  <cols>
    <col min="2" max="2" width="16" customWidth="1"/>
    <col min="3" max="3" width="20.5" customWidth="1"/>
    <col min="4" max="4" width="17.375" customWidth="1"/>
    <col min="5" max="5" width="7.875" customWidth="1"/>
    <col min="6" max="6" width="21.625" customWidth="1"/>
  </cols>
  <sheetData>
    <row r="1" spans="1:6" x14ac:dyDescent="0.25">
      <c r="A1" s="1" t="s">
        <v>205</v>
      </c>
    </row>
    <row r="3" spans="1:6" x14ac:dyDescent="0.25">
      <c r="A3" t="s">
        <v>75</v>
      </c>
      <c r="B3" t="s">
        <v>76</v>
      </c>
      <c r="C3" t="s">
        <v>77</v>
      </c>
      <c r="D3" t="s">
        <v>78</v>
      </c>
      <c r="E3" t="s">
        <v>79</v>
      </c>
      <c r="F3" t="s">
        <v>80</v>
      </c>
    </row>
    <row r="4" spans="1:6" x14ac:dyDescent="0.25">
      <c r="A4" t="s">
        <v>81</v>
      </c>
      <c r="B4">
        <v>6.8239999999999995E-2</v>
      </c>
      <c r="C4">
        <v>6.9309999999999997E-2</v>
      </c>
      <c r="D4">
        <f t="shared" ref="D4:D24" si="0">C4-B4</f>
        <v>1.0700000000000015E-3</v>
      </c>
      <c r="E4">
        <v>15</v>
      </c>
      <c r="F4" s="2">
        <f t="shared" ref="F4:F24" si="1">D4/E4</f>
        <v>7.1333333333333432E-5</v>
      </c>
    </row>
    <row r="5" spans="1:6" x14ac:dyDescent="0.25">
      <c r="A5" t="s">
        <v>82</v>
      </c>
      <c r="B5">
        <v>6.1920000000000003E-2</v>
      </c>
      <c r="C5">
        <v>6.3039999999999999E-2</v>
      </c>
      <c r="D5">
        <f t="shared" si="0"/>
        <v>1.119999999999996E-3</v>
      </c>
      <c r="E5">
        <v>15</v>
      </c>
      <c r="F5" s="2">
        <f t="shared" si="1"/>
        <v>7.4666666666666404E-5</v>
      </c>
    </row>
    <row r="6" spans="1:6" x14ac:dyDescent="0.25">
      <c r="A6" t="s">
        <v>83</v>
      </c>
      <c r="B6">
        <v>5.8909999999999997E-2</v>
      </c>
      <c r="C6">
        <v>6.0400000000000002E-2</v>
      </c>
      <c r="D6">
        <f t="shared" si="0"/>
        <v>1.4900000000000052E-3</v>
      </c>
      <c r="E6">
        <v>15</v>
      </c>
      <c r="F6" s="2">
        <f t="shared" si="1"/>
        <v>9.9333333333333679E-5</v>
      </c>
    </row>
    <row r="7" spans="1:6" x14ac:dyDescent="0.25">
      <c r="A7" t="s">
        <v>84</v>
      </c>
      <c r="B7">
        <v>6.5009999999999998E-2</v>
      </c>
      <c r="C7">
        <v>6.6129999999999994E-2</v>
      </c>
      <c r="D7">
        <f t="shared" si="0"/>
        <v>1.119999999999996E-3</v>
      </c>
      <c r="E7">
        <v>15</v>
      </c>
      <c r="F7" s="2">
        <f t="shared" si="1"/>
        <v>7.4666666666666404E-5</v>
      </c>
    </row>
    <row r="8" spans="1:6" x14ac:dyDescent="0.25">
      <c r="A8" t="s">
        <v>85</v>
      </c>
      <c r="B8">
        <v>6.1379999999999997E-2</v>
      </c>
      <c r="C8">
        <v>6.2530000000000002E-2</v>
      </c>
      <c r="D8">
        <f t="shared" si="0"/>
        <v>1.1500000000000052E-3</v>
      </c>
      <c r="E8">
        <v>14</v>
      </c>
      <c r="F8" s="2">
        <f t="shared" si="1"/>
        <v>8.2142857142857519E-5</v>
      </c>
    </row>
    <row r="9" spans="1:6" x14ac:dyDescent="0.25">
      <c r="A9" t="s">
        <v>86</v>
      </c>
      <c r="B9">
        <v>5.2839999999999998E-2</v>
      </c>
      <c r="C9">
        <v>5.3870000000000001E-2</v>
      </c>
      <c r="D9">
        <f t="shared" si="0"/>
        <v>1.0300000000000031E-3</v>
      </c>
      <c r="E9">
        <v>14</v>
      </c>
      <c r="F9" s="2">
        <f t="shared" si="1"/>
        <v>7.3571428571428797E-5</v>
      </c>
    </row>
    <row r="10" spans="1:6" x14ac:dyDescent="0.25">
      <c r="A10" t="s">
        <v>87</v>
      </c>
      <c r="B10">
        <v>5.654E-2</v>
      </c>
      <c r="C10">
        <v>5.7759999999999999E-2</v>
      </c>
      <c r="D10">
        <f t="shared" si="0"/>
        <v>1.2199999999999989E-3</v>
      </c>
      <c r="E10">
        <v>14</v>
      </c>
      <c r="F10" s="2">
        <f t="shared" si="1"/>
        <v>8.7142857142857058E-5</v>
      </c>
    </row>
    <row r="11" spans="1:6" x14ac:dyDescent="0.25">
      <c r="A11" t="s">
        <v>88</v>
      </c>
      <c r="B11">
        <v>6.4250000000000002E-2</v>
      </c>
      <c r="C11">
        <v>6.5449999999999994E-2</v>
      </c>
      <c r="D11">
        <f t="shared" si="0"/>
        <v>1.1999999999999927E-3</v>
      </c>
      <c r="E11">
        <v>14</v>
      </c>
      <c r="F11" s="2">
        <f t="shared" si="1"/>
        <v>8.5714285714285198E-5</v>
      </c>
    </row>
    <row r="12" spans="1:6" x14ac:dyDescent="0.25">
      <c r="A12" t="s">
        <v>89</v>
      </c>
      <c r="B12">
        <v>6.2449999999999999E-2</v>
      </c>
      <c r="C12">
        <v>6.3530000000000003E-2</v>
      </c>
      <c r="D12">
        <f t="shared" si="0"/>
        <v>1.0800000000000046E-3</v>
      </c>
      <c r="E12">
        <v>16</v>
      </c>
      <c r="F12" s="2">
        <f t="shared" si="1"/>
        <v>6.7500000000000285E-5</v>
      </c>
    </row>
    <row r="13" spans="1:6" x14ac:dyDescent="0.25">
      <c r="A13" t="s">
        <v>177</v>
      </c>
      <c r="B13">
        <v>6.012E-2</v>
      </c>
      <c r="C13">
        <v>6.1150000000000003E-2</v>
      </c>
      <c r="D13">
        <f t="shared" si="0"/>
        <v>1.0300000000000031E-3</v>
      </c>
      <c r="E13">
        <v>16</v>
      </c>
      <c r="F13" s="2">
        <f t="shared" si="1"/>
        <v>6.4375000000000196E-5</v>
      </c>
    </row>
    <row r="14" spans="1:6" x14ac:dyDescent="0.25">
      <c r="A14" t="s">
        <v>178</v>
      </c>
      <c r="B14">
        <v>7.0279999999999995E-2</v>
      </c>
      <c r="C14">
        <v>7.1349999999999997E-2</v>
      </c>
      <c r="D14">
        <f t="shared" si="0"/>
        <v>1.0700000000000015E-3</v>
      </c>
      <c r="E14">
        <v>16</v>
      </c>
      <c r="F14" s="2">
        <f t="shared" si="1"/>
        <v>6.6875000000000094E-5</v>
      </c>
    </row>
    <row r="15" spans="1:6" x14ac:dyDescent="0.25">
      <c r="A15" t="s">
        <v>179</v>
      </c>
      <c r="B15">
        <v>7.0000000000000007E-2</v>
      </c>
      <c r="C15">
        <v>7.0940000000000003E-2</v>
      </c>
      <c r="D15">
        <f t="shared" si="0"/>
        <v>9.3999999999999639E-4</v>
      </c>
      <c r="E15">
        <v>15</v>
      </c>
      <c r="F15" s="2">
        <f t="shared" si="1"/>
        <v>6.2666666666666424E-5</v>
      </c>
    </row>
    <row r="16" spans="1:6" x14ac:dyDescent="0.25">
      <c r="A16" t="s">
        <v>90</v>
      </c>
      <c r="B16">
        <v>5.9130000000000002E-2</v>
      </c>
      <c r="C16">
        <v>6.0609999999999997E-2</v>
      </c>
      <c r="D16">
        <f t="shared" si="0"/>
        <v>1.4799999999999952E-3</v>
      </c>
      <c r="E16">
        <v>16</v>
      </c>
      <c r="F16" s="2">
        <f t="shared" si="1"/>
        <v>9.2499999999999701E-5</v>
      </c>
    </row>
    <row r="17" spans="1:6" x14ac:dyDescent="0.25">
      <c r="A17" t="s">
        <v>91</v>
      </c>
      <c r="B17">
        <v>4.8340000000000001E-2</v>
      </c>
      <c r="C17">
        <v>4.9549999999999997E-2</v>
      </c>
      <c r="D17">
        <f t="shared" si="0"/>
        <v>1.2099999999999958E-3</v>
      </c>
      <c r="E17">
        <v>15</v>
      </c>
      <c r="F17" s="2">
        <f t="shared" si="1"/>
        <v>8.0666666666666387E-5</v>
      </c>
    </row>
    <row r="18" spans="1:6" x14ac:dyDescent="0.25">
      <c r="A18" t="s">
        <v>92</v>
      </c>
      <c r="B18">
        <v>6.6320000000000004E-2</v>
      </c>
      <c r="C18">
        <v>6.7570000000000005E-2</v>
      </c>
      <c r="D18">
        <f t="shared" si="0"/>
        <v>1.2500000000000011E-3</v>
      </c>
      <c r="E18">
        <v>15</v>
      </c>
      <c r="F18" s="2">
        <f t="shared" si="1"/>
        <v>8.3333333333333412E-5</v>
      </c>
    </row>
    <row r="19" spans="1:6" x14ac:dyDescent="0.25">
      <c r="A19" t="s">
        <v>93</v>
      </c>
      <c r="B19">
        <v>6.6420000000000007E-2</v>
      </c>
      <c r="C19">
        <v>6.7659999999999998E-2</v>
      </c>
      <c r="D19">
        <f t="shared" si="0"/>
        <v>1.2399999999999911E-3</v>
      </c>
      <c r="E19">
        <v>15</v>
      </c>
      <c r="F19" s="2">
        <f t="shared" si="1"/>
        <v>8.2666666666666069E-5</v>
      </c>
    </row>
    <row r="20" spans="1:6" x14ac:dyDescent="0.25">
      <c r="A20" t="s">
        <v>94</v>
      </c>
      <c r="B20">
        <v>6.5610000000000002E-2</v>
      </c>
      <c r="C20">
        <v>6.6559999999999994E-2</v>
      </c>
      <c r="D20">
        <f t="shared" si="0"/>
        <v>9.4999999999999252E-4</v>
      </c>
      <c r="E20">
        <v>16</v>
      </c>
      <c r="F20" s="2">
        <f t="shared" si="1"/>
        <v>5.9374999999999532E-5</v>
      </c>
    </row>
    <row r="21" spans="1:6" x14ac:dyDescent="0.25">
      <c r="A21" t="s">
        <v>95</v>
      </c>
      <c r="B21">
        <v>5.1860000000000003E-2</v>
      </c>
      <c r="C21">
        <v>5.3129999999999997E-2</v>
      </c>
      <c r="D21">
        <f t="shared" si="0"/>
        <v>1.2699999999999934E-3</v>
      </c>
      <c r="E21">
        <v>16</v>
      </c>
      <c r="F21" s="2">
        <f t="shared" si="1"/>
        <v>7.9374999999999585E-5</v>
      </c>
    </row>
    <row r="22" spans="1:6" x14ac:dyDescent="0.25">
      <c r="A22" t="s">
        <v>99</v>
      </c>
      <c r="B22">
        <v>6.0789999999999997E-2</v>
      </c>
      <c r="C22">
        <v>6.2100000000000002E-2</v>
      </c>
      <c r="D22">
        <f t="shared" si="0"/>
        <v>1.3100000000000056E-3</v>
      </c>
      <c r="E22">
        <v>15</v>
      </c>
      <c r="F22" s="2">
        <f t="shared" si="1"/>
        <v>8.7333333333333712E-5</v>
      </c>
    </row>
    <row r="23" spans="1:6" x14ac:dyDescent="0.25">
      <c r="A23" t="s">
        <v>100</v>
      </c>
      <c r="B23">
        <v>6.5290000000000001E-2</v>
      </c>
      <c r="C23">
        <v>6.6430000000000003E-2</v>
      </c>
      <c r="D23">
        <f t="shared" si="0"/>
        <v>1.1400000000000021E-3</v>
      </c>
      <c r="E23">
        <v>15</v>
      </c>
      <c r="F23" s="2">
        <f t="shared" si="1"/>
        <v>7.600000000000014E-5</v>
      </c>
    </row>
    <row r="24" spans="1:6" x14ac:dyDescent="0.25">
      <c r="A24" t="s">
        <v>101</v>
      </c>
      <c r="B24">
        <v>6.6780000000000006E-2</v>
      </c>
      <c r="C24">
        <v>6.7960000000000007E-2</v>
      </c>
      <c r="D24">
        <f t="shared" si="0"/>
        <v>1.1800000000000005E-3</v>
      </c>
      <c r="E24">
        <v>14</v>
      </c>
      <c r="F24" s="2">
        <f t="shared" si="1"/>
        <v>8.4285714285714327E-5</v>
      </c>
    </row>
  </sheetData>
  <pageMargins left="0.75" right="0.7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8"/>
  </sheetPr>
  <dimension ref="A1:O52"/>
  <sheetViews>
    <sheetView workbookViewId="0">
      <selection activeCell="C27" sqref="C27"/>
    </sheetView>
  </sheetViews>
  <sheetFormatPr defaultColWidth="11" defaultRowHeight="15.75" x14ac:dyDescent="0.25"/>
  <cols>
    <col min="1" max="1" width="13.125" customWidth="1"/>
    <col min="2" max="2" width="22.875" customWidth="1"/>
    <col min="3" max="3" width="9.5" customWidth="1"/>
    <col min="5" max="5" width="15" customWidth="1"/>
  </cols>
  <sheetData>
    <row r="1" spans="1:10" x14ac:dyDescent="0.25">
      <c r="D1" t="s">
        <v>102</v>
      </c>
      <c r="E1">
        <v>19</v>
      </c>
      <c r="F1">
        <v>21</v>
      </c>
    </row>
    <row r="3" spans="1:10" x14ac:dyDescent="0.25">
      <c r="A3" t="s">
        <v>75</v>
      </c>
      <c r="B3" t="s">
        <v>103</v>
      </c>
      <c r="C3" t="s">
        <v>104</v>
      </c>
      <c r="D3" t="s">
        <v>105</v>
      </c>
      <c r="E3" t="s">
        <v>106</v>
      </c>
    </row>
    <row r="4" spans="1:10" x14ac:dyDescent="0.25">
      <c r="A4" t="s">
        <v>108</v>
      </c>
      <c r="B4">
        <v>7</v>
      </c>
      <c r="D4">
        <v>0</v>
      </c>
      <c r="E4">
        <v>0</v>
      </c>
      <c r="G4">
        <v>0</v>
      </c>
    </row>
    <row r="5" spans="1:10" x14ac:dyDescent="0.25">
      <c r="A5" t="s">
        <v>109</v>
      </c>
      <c r="B5">
        <v>3</v>
      </c>
      <c r="D5">
        <v>0</v>
      </c>
      <c r="E5">
        <v>0</v>
      </c>
      <c r="G5">
        <v>0</v>
      </c>
    </row>
    <row r="6" spans="1:10" x14ac:dyDescent="0.25">
      <c r="A6" t="s">
        <v>81</v>
      </c>
      <c r="B6">
        <v>200</v>
      </c>
      <c r="C6" s="4">
        <f>(B6*391)/(2220000*10.9)*1000/'Esc Masses 6.0 28'!D4</f>
        <v>3020.2542420668078</v>
      </c>
      <c r="D6" s="5">
        <f>(B6*391)/(2220000*10.9)*1000/'Esc Masses 6.0 28'!E4</f>
        <v>0.21544480260076593</v>
      </c>
      <c r="E6" s="4">
        <f>AVERAGE(C6:C8)</f>
        <v>3382.3505347417654</v>
      </c>
      <c r="F6" s="27">
        <f>STDEV(C6:C8)/E6</f>
        <v>0.15460761543415899</v>
      </c>
      <c r="G6">
        <v>3</v>
      </c>
      <c r="I6" t="s">
        <v>110</v>
      </c>
      <c r="J6" t="s">
        <v>106</v>
      </c>
    </row>
    <row r="7" spans="1:10" x14ac:dyDescent="0.25">
      <c r="A7" t="s">
        <v>82</v>
      </c>
      <c r="B7">
        <v>276</v>
      </c>
      <c r="C7" s="4">
        <f>(B7*391)/(2220000*10.9)*1000/'Esc Masses 6.0 28'!D5</f>
        <v>3981.8816194963119</v>
      </c>
      <c r="D7" s="5">
        <f>(B7*391)/(2220000*10.9)*1000/'Esc Masses 6.0 28'!E5</f>
        <v>0.29731382758905689</v>
      </c>
      <c r="G7">
        <v>3</v>
      </c>
      <c r="I7">
        <v>3</v>
      </c>
    </row>
    <row r="8" spans="1:10" x14ac:dyDescent="0.25">
      <c r="A8" t="s">
        <v>83</v>
      </c>
      <c r="B8">
        <v>290</v>
      </c>
      <c r="C8" s="4">
        <f>(B8*391)/(2220000*10.9)*1000/'Esc Masses 6.0 28'!D6</f>
        <v>3144.9157426621764</v>
      </c>
      <c r="D8" s="5">
        <f>(B8*391)/(2220000*10.9)*1000/'Esc Masses 6.0 28'!E6</f>
        <v>0.31239496377111059</v>
      </c>
      <c r="G8">
        <v>3</v>
      </c>
      <c r="I8">
        <v>6</v>
      </c>
    </row>
    <row r="9" spans="1:10" x14ac:dyDescent="0.25">
      <c r="A9" t="s">
        <v>84</v>
      </c>
      <c r="B9">
        <v>421</v>
      </c>
      <c r="C9" s="4">
        <f>(B9*391)/(2220000*10.9)*1000/'Esc Masses 6.0 28'!D7</f>
        <v>6073.8121804635784</v>
      </c>
      <c r="D9" s="5">
        <f>(B9*391)/(2220000*10.9)*1000/'Esc Masses 6.0 28'!E7</f>
        <v>0.45351130947461221</v>
      </c>
      <c r="E9" s="4">
        <f>AVERAGE(C9:C11)</f>
        <v>4753.0865285496939</v>
      </c>
      <c r="F9" s="27">
        <f>STDEV(C9:C11)/E9</f>
        <v>0.26398759518272968</v>
      </c>
      <c r="G9">
        <v>6</v>
      </c>
      <c r="I9">
        <v>12</v>
      </c>
    </row>
    <row r="10" spans="1:10" x14ac:dyDescent="0.25">
      <c r="A10" t="s">
        <v>85</v>
      </c>
      <c r="B10">
        <v>328</v>
      </c>
      <c r="C10" s="4">
        <f>(B10*391)/(2220000*10.9)*1000/'Esc Masses 6.0 28'!D8</f>
        <v>4608.6453425902755</v>
      </c>
      <c r="D10" s="5">
        <f>(B10*391)/(2220000*10.9)*1000/'Esc Masses 6.0 28'!E8</f>
        <v>0.37856729599848865</v>
      </c>
      <c r="G10">
        <v>6</v>
      </c>
      <c r="I10">
        <v>16</v>
      </c>
    </row>
    <row r="11" spans="1:10" x14ac:dyDescent="0.25">
      <c r="A11" t="s">
        <v>86</v>
      </c>
      <c r="B11">
        <v>228</v>
      </c>
      <c r="C11" s="4">
        <f>(B11*391)/(2220000*10.9)*1000/'Esc Masses 6.0 28'!D9</f>
        <v>3576.802062595229</v>
      </c>
      <c r="D11" s="5">
        <f>(B11*391)/(2220000*10.9)*1000/'Esc Masses 6.0 28'!E9</f>
        <v>0.26315043746236405</v>
      </c>
      <c r="G11">
        <v>6</v>
      </c>
      <c r="I11">
        <v>24</v>
      </c>
    </row>
    <row r="12" spans="1:10" x14ac:dyDescent="0.25">
      <c r="A12" t="s">
        <v>87</v>
      </c>
      <c r="B12">
        <v>405</v>
      </c>
      <c r="C12" s="4">
        <f>(B12*391)/(2220000*10.9)*1000/'Esc Masses 6.0 28'!D10</f>
        <v>5364.0458024575983</v>
      </c>
      <c r="D12" s="5">
        <f>(B12*391)/(2220000*10.9)*1000/'Esc Masses 6.0 28'!E10</f>
        <v>0.46743827707130459</v>
      </c>
      <c r="E12" s="4">
        <f>AVERAGE(C12:C14)</f>
        <v>7198.0736439050897</v>
      </c>
      <c r="F12" s="27">
        <f>STDEV(C12:C14)/E12</f>
        <v>0.60418681946142228</v>
      </c>
      <c r="G12">
        <v>12</v>
      </c>
      <c r="I12">
        <v>36</v>
      </c>
    </row>
    <row r="13" spans="1:10" x14ac:dyDescent="0.25">
      <c r="A13" t="s">
        <v>88</v>
      </c>
      <c r="B13">
        <v>302</v>
      </c>
      <c r="C13" s="4">
        <f>(B13*391)/(2220000*10.9)*1000/'Esc Masses 6.0 28'!D11</f>
        <v>4066.5206490894811</v>
      </c>
      <c r="D13" s="5">
        <f>(B13*391)/(2220000*10.9)*1000/'Esc Masses 6.0 28'!E11</f>
        <v>0.34855891277909629</v>
      </c>
      <c r="G13">
        <v>12</v>
      </c>
    </row>
    <row r="14" spans="1:10" x14ac:dyDescent="0.25">
      <c r="A14" t="s">
        <v>89</v>
      </c>
      <c r="B14">
        <v>813</v>
      </c>
      <c r="C14" s="4">
        <f>(B14*391)/(2220000*10.9)*1000/'Esc Masses 6.0 28'!D12</f>
        <v>12163.65448016819</v>
      </c>
      <c r="D14" s="5">
        <f>(B14*391)/(2220000*10.9)*1000/'Esc Masses 6.0 28'!E12</f>
        <v>0.82104667741135628</v>
      </c>
      <c r="G14">
        <v>12</v>
      </c>
    </row>
    <row r="15" spans="1:10" x14ac:dyDescent="0.25">
      <c r="A15" t="s">
        <v>177</v>
      </c>
      <c r="B15">
        <v>546</v>
      </c>
      <c r="C15" s="4">
        <f>(B15*391)/(2220000*10.9)*1000/'Esc Masses 6.0 28'!D13</f>
        <v>8565.4996762148894</v>
      </c>
      <c r="D15" s="5">
        <f>(B15*391)/(2220000*10.9)*1000/'Esc Masses 6.0 28'!E13</f>
        <v>0.55140404165633516</v>
      </c>
      <c r="E15" s="4">
        <f>AVERAGE(C15:C17)</f>
        <v>9712.7502064438304</v>
      </c>
      <c r="F15" s="27">
        <f>STDEV(C15:C17)/E15</f>
        <v>0.21119772888725705</v>
      </c>
      <c r="G15">
        <v>16</v>
      </c>
    </row>
    <row r="16" spans="1:10" x14ac:dyDescent="0.25">
      <c r="A16" t="s">
        <v>178</v>
      </c>
      <c r="B16">
        <v>800</v>
      </c>
      <c r="C16" s="4">
        <f>(B16*391)/(2220000*10.9)*1000/'Esc Masses 6.0 28'!D14</f>
        <v>12081.016968267231</v>
      </c>
      <c r="D16" s="5">
        <f>(B16*391)/(2220000*10.9)*1000/'Esc Masses 6.0 28'!E14</f>
        <v>0.8079180097528722</v>
      </c>
      <c r="G16">
        <v>16</v>
      </c>
    </row>
    <row r="17" spans="1:15" x14ac:dyDescent="0.25">
      <c r="A17" t="s">
        <v>179</v>
      </c>
      <c r="B17">
        <v>494</v>
      </c>
      <c r="C17" s="4">
        <f>(B17*391)/(2220000*10.9)*1000/'Esc Masses 6.0 28'!D15</f>
        <v>8491.7339748493705</v>
      </c>
      <c r="D17" s="5">
        <f>(B17*391)/(2220000*10.9)*1000/'Esc Masses 6.0 28'!E15</f>
        <v>0.53214866242389181</v>
      </c>
      <c r="G17">
        <v>16</v>
      </c>
    </row>
    <row r="18" spans="1:15" x14ac:dyDescent="0.25">
      <c r="A18" t="s">
        <v>90</v>
      </c>
      <c r="B18">
        <v>848</v>
      </c>
      <c r="C18" s="4">
        <f>(B18*391)/(2220000*10.9)*1000/'Esc Masses 6.0 28'!D16</f>
        <v>9258.3036793302399</v>
      </c>
      <c r="D18" s="5">
        <f>(B18*391)/(2220000*10.9)*1000/'Esc Masses 6.0 28'!E16</f>
        <v>0.85639309033804445</v>
      </c>
      <c r="E18" s="4">
        <f>AVERAGE(C18:C20)</f>
        <v>10429.172313300996</v>
      </c>
      <c r="F18" s="27">
        <f>STDEV(C18:C20)/E18</f>
        <v>0.15454308948767789</v>
      </c>
      <c r="G18">
        <v>24</v>
      </c>
    </row>
    <row r="19" spans="1:15" x14ac:dyDescent="0.25">
      <c r="A19" t="s">
        <v>91</v>
      </c>
      <c r="B19">
        <v>731</v>
      </c>
      <c r="C19" s="4">
        <f>(B19*391)/(2220000*10.9)*1000/'Esc Masses 6.0 28'!D17</f>
        <v>9761.7862004851504</v>
      </c>
      <c r="D19" s="5">
        <f>(B19*391)/(2220000*10.9)*1000/'Esc Masses 6.0 28'!E17</f>
        <v>0.78745075350579941</v>
      </c>
      <c r="G19">
        <v>24</v>
      </c>
    </row>
    <row r="20" spans="1:15" x14ac:dyDescent="0.25">
      <c r="A20" t="s">
        <v>92</v>
      </c>
      <c r="B20">
        <v>949</v>
      </c>
      <c r="C20" s="4">
        <f>(B20*391)/(2220000*10.9)*1000/'Esc Masses 6.0 28'!D18</f>
        <v>12267.427060087599</v>
      </c>
      <c r="D20" s="5">
        <f>(B20*391)/(2220000*10.9)*1000/'Esc Masses 6.0 28'!E18</f>
        <v>1.0222855883406341</v>
      </c>
      <c r="G20">
        <v>24</v>
      </c>
    </row>
    <row r="21" spans="1:15" x14ac:dyDescent="0.25">
      <c r="A21" t="s">
        <v>93</v>
      </c>
      <c r="B21">
        <v>914</v>
      </c>
      <c r="C21" s="4">
        <f>(B21*391)/(2220000*10.9)*1000/'Esc Masses 6.0 28'!D19</f>
        <v>11910.275176034362</v>
      </c>
      <c r="D21" s="5">
        <f>(B21*391)/(2220000*10.9)*1000/'Esc Masses 6.0 28'!E19</f>
        <v>0.98458274788550026</v>
      </c>
      <c r="E21" s="4">
        <f>AVERAGE(C21:C23)</f>
        <v>13180.557927868598</v>
      </c>
      <c r="F21" s="27">
        <f>STDEV(C21:C23)/E21</f>
        <v>9.1611295739842294E-2</v>
      </c>
      <c r="G21">
        <v>36</v>
      </c>
    </row>
    <row r="22" spans="1:15" x14ac:dyDescent="0.25">
      <c r="A22" t="s">
        <v>94</v>
      </c>
      <c r="B22">
        <v>783</v>
      </c>
      <c r="C22" s="4">
        <f>(B22*391)/(2220000*10.9)*1000/'Esc Masses 6.0 28'!D20</f>
        <v>13317.890560768503</v>
      </c>
      <c r="D22" s="5">
        <f>(B22*391)/(2220000*10.9)*1000/'Esc Masses 6.0 28'!E20</f>
        <v>0.79074975204562359</v>
      </c>
      <c r="G22">
        <v>36</v>
      </c>
    </row>
    <row r="23" spans="1:15" x14ac:dyDescent="0.25">
      <c r="A23" t="s">
        <v>95</v>
      </c>
      <c r="B23">
        <v>1125</v>
      </c>
      <c r="C23" s="4">
        <f>(B23*391)/(2220000*10.9)*1000/'Esc Masses 6.0 28'!D21</f>
        <v>14313.508046802928</v>
      </c>
      <c r="D23" s="5">
        <f>(B23*391)/(2220000*10.9)*1000/'Esc Masses 6.0 28'!E21</f>
        <v>1.1361347012149765</v>
      </c>
      <c r="G23">
        <v>36</v>
      </c>
    </row>
    <row r="24" spans="1:15" x14ac:dyDescent="0.25">
      <c r="A24" t="s">
        <v>99</v>
      </c>
      <c r="B24">
        <v>3</v>
      </c>
      <c r="C24" s="4">
        <f>(B24*391)/(2220000*10.9)*1000/'Esc Masses 6.0 28'!D22</f>
        <v>37.0038783092917</v>
      </c>
      <c r="D24" s="5">
        <f>(B24*391)/(2220000*10.9)*1000/'Esc Masses 6.0 28'!E22</f>
        <v>3.2316720390114886E-3</v>
      </c>
      <c r="E24" s="4">
        <f>AVERAGE(C24:C25)</f>
        <v>25.588939240197348</v>
      </c>
      <c r="F24" s="27">
        <f>STDEV(C24:C26)/E24</f>
        <v>0.72960848836335979</v>
      </c>
    </row>
    <row r="25" spans="1:15" x14ac:dyDescent="0.25">
      <c r="A25" t="s">
        <v>100</v>
      </c>
      <c r="B25">
        <v>1</v>
      </c>
      <c r="C25" s="4">
        <f>(B25*391)/(2220000*10.9)*1000/'Esc Masses 6.0 28'!D23</f>
        <v>14.174000171102993</v>
      </c>
      <c r="D25" s="5">
        <f>(B25*391)/(2220000*10.9)*1000/'Esc Masses 6.0 28'!E23</f>
        <v>1.0772240130038295E-3</v>
      </c>
    </row>
    <row r="26" spans="1:15" x14ac:dyDescent="0.25">
      <c r="A26" t="s">
        <v>101</v>
      </c>
      <c r="B26">
        <v>0</v>
      </c>
      <c r="C26" s="4">
        <f>(B26*391)/(2220000*10.9)*1000/'Esc Masses 6.0 28'!D24</f>
        <v>0</v>
      </c>
      <c r="D26" s="5">
        <f>(B26*391)/(2220000*10.9)*1000/'Esc Masses 6.0 28'!E24</f>
        <v>0</v>
      </c>
    </row>
    <row r="31" spans="1:15" x14ac:dyDescent="0.25">
      <c r="A31" s="1" t="s">
        <v>112</v>
      </c>
      <c r="B31" t="s">
        <v>113</v>
      </c>
      <c r="C31" t="s">
        <v>114</v>
      </c>
      <c r="D31" t="s">
        <v>115</v>
      </c>
      <c r="E31" t="s">
        <v>116</v>
      </c>
      <c r="F31" t="s">
        <v>117</v>
      </c>
      <c r="G31" t="s">
        <v>118</v>
      </c>
      <c r="L31" t="s">
        <v>110</v>
      </c>
      <c r="M31" t="s">
        <v>119</v>
      </c>
      <c r="N31" t="s">
        <v>120</v>
      </c>
      <c r="O31" t="s">
        <v>121</v>
      </c>
    </row>
    <row r="32" spans="1:15" x14ac:dyDescent="0.25">
      <c r="A32" t="s">
        <v>122</v>
      </c>
      <c r="B32">
        <v>0</v>
      </c>
      <c r="C32">
        <v>4</v>
      </c>
      <c r="D32">
        <v>2</v>
      </c>
      <c r="E32">
        <v>1</v>
      </c>
      <c r="F32">
        <v>1</v>
      </c>
      <c r="G32" s="28">
        <f t="shared" ref="G32:G38" si="0">(E32)/(SUM(B32+C32+D32+E32+F32))</f>
        <v>0.125</v>
      </c>
      <c r="I32" t="s">
        <v>102</v>
      </c>
      <c r="J32">
        <v>19</v>
      </c>
      <c r="L32">
        <v>0</v>
      </c>
      <c r="M32">
        <v>0</v>
      </c>
      <c r="N32">
        <v>0</v>
      </c>
      <c r="O32">
        <v>0</v>
      </c>
    </row>
    <row r="33" spans="1:15" x14ac:dyDescent="0.25">
      <c r="A33" t="s">
        <v>123</v>
      </c>
      <c r="B33">
        <v>76</v>
      </c>
      <c r="C33">
        <v>8</v>
      </c>
      <c r="D33">
        <v>15</v>
      </c>
      <c r="E33">
        <v>370</v>
      </c>
      <c r="F33">
        <v>4</v>
      </c>
      <c r="G33" s="28">
        <f t="shared" si="0"/>
        <v>0.78224101479915431</v>
      </c>
      <c r="L33">
        <v>0</v>
      </c>
      <c r="M33">
        <v>0</v>
      </c>
      <c r="N33">
        <v>0</v>
      </c>
      <c r="O33">
        <v>0</v>
      </c>
    </row>
    <row r="34" spans="1:15" x14ac:dyDescent="0.25">
      <c r="A34" t="s">
        <v>124</v>
      </c>
      <c r="B34">
        <v>162</v>
      </c>
      <c r="C34">
        <v>11</v>
      </c>
      <c r="D34">
        <v>17</v>
      </c>
      <c r="E34">
        <v>437</v>
      </c>
      <c r="F34">
        <v>2</v>
      </c>
      <c r="G34" s="28">
        <f t="shared" si="0"/>
        <v>0.69475357710651831</v>
      </c>
      <c r="L34">
        <v>0</v>
      </c>
      <c r="M34">
        <v>0</v>
      </c>
      <c r="N34">
        <v>0</v>
      </c>
      <c r="O34">
        <v>0</v>
      </c>
    </row>
    <row r="35" spans="1:15" x14ac:dyDescent="0.25">
      <c r="A35" t="s">
        <v>125</v>
      </c>
      <c r="B35">
        <v>288</v>
      </c>
      <c r="C35">
        <v>24</v>
      </c>
      <c r="D35">
        <v>23</v>
      </c>
      <c r="E35">
        <v>467</v>
      </c>
      <c r="F35">
        <v>5</v>
      </c>
      <c r="G35" s="28">
        <f t="shared" si="0"/>
        <v>0.5786864931846345</v>
      </c>
      <c r="L35">
        <v>3</v>
      </c>
      <c r="M35">
        <v>3020</v>
      </c>
      <c r="N35" s="4">
        <f>M35*0.78</f>
        <v>2355.6</v>
      </c>
      <c r="O35" s="4">
        <f t="shared" ref="O35:O52" si="1">M35-N35</f>
        <v>664.40000000000009</v>
      </c>
    </row>
    <row r="36" spans="1:15" x14ac:dyDescent="0.25">
      <c r="A36" t="s">
        <v>180</v>
      </c>
      <c r="B36">
        <v>436</v>
      </c>
      <c r="C36">
        <v>36</v>
      </c>
      <c r="D36">
        <v>32</v>
      </c>
      <c r="E36">
        <v>502</v>
      </c>
      <c r="F36">
        <v>1</v>
      </c>
      <c r="G36" s="28">
        <f t="shared" si="0"/>
        <v>0.49851042701092352</v>
      </c>
      <c r="L36">
        <v>3</v>
      </c>
      <c r="M36">
        <v>3982</v>
      </c>
      <c r="N36" s="4">
        <f t="shared" ref="N36:N37" si="2">M36*0.78</f>
        <v>3105.96</v>
      </c>
      <c r="O36" s="4">
        <f t="shared" si="1"/>
        <v>876.04</v>
      </c>
    </row>
    <row r="37" spans="1:15" x14ac:dyDescent="0.25">
      <c r="A37" t="s">
        <v>126</v>
      </c>
      <c r="B37">
        <v>730</v>
      </c>
      <c r="C37">
        <v>64</v>
      </c>
      <c r="D37">
        <v>42</v>
      </c>
      <c r="E37">
        <v>468</v>
      </c>
      <c r="F37">
        <v>6</v>
      </c>
      <c r="G37" s="28">
        <f t="shared" si="0"/>
        <v>0.35725190839694654</v>
      </c>
      <c r="L37">
        <v>3</v>
      </c>
      <c r="M37">
        <v>3145</v>
      </c>
      <c r="N37" s="4">
        <f t="shared" si="2"/>
        <v>2453.1</v>
      </c>
      <c r="O37" s="4">
        <f t="shared" si="1"/>
        <v>691.90000000000009</v>
      </c>
    </row>
    <row r="38" spans="1:15" x14ac:dyDescent="0.25">
      <c r="A38" t="s">
        <v>127</v>
      </c>
      <c r="B38">
        <v>821</v>
      </c>
      <c r="C38">
        <v>50</v>
      </c>
      <c r="D38">
        <v>34</v>
      </c>
      <c r="E38">
        <v>285</v>
      </c>
      <c r="F38">
        <v>5</v>
      </c>
      <c r="G38" s="28">
        <f t="shared" si="0"/>
        <v>0.2384937238493724</v>
      </c>
      <c r="L38">
        <v>6</v>
      </c>
      <c r="M38">
        <v>6074</v>
      </c>
      <c r="N38" s="4">
        <f>M38*0.69</f>
        <v>4191.0599999999995</v>
      </c>
      <c r="O38" s="4">
        <f t="shared" si="1"/>
        <v>1882.9400000000005</v>
      </c>
    </row>
    <row r="39" spans="1:15" x14ac:dyDescent="0.25">
      <c r="L39">
        <v>6</v>
      </c>
      <c r="M39">
        <v>4609</v>
      </c>
      <c r="N39" s="4">
        <f t="shared" ref="N39:N40" si="3">M39*0.69</f>
        <v>3180.2099999999996</v>
      </c>
      <c r="O39" s="4">
        <f t="shared" si="1"/>
        <v>1428.7900000000004</v>
      </c>
    </row>
    <row r="40" spans="1:15" x14ac:dyDescent="0.25">
      <c r="L40">
        <v>6</v>
      </c>
      <c r="M40">
        <v>3577</v>
      </c>
      <c r="N40" s="4">
        <f t="shared" si="3"/>
        <v>2468.1299999999997</v>
      </c>
      <c r="O40" s="4">
        <f t="shared" si="1"/>
        <v>1108.8700000000003</v>
      </c>
    </row>
    <row r="41" spans="1:15" x14ac:dyDescent="0.25">
      <c r="L41">
        <v>12</v>
      </c>
      <c r="M41">
        <v>5364</v>
      </c>
      <c r="N41" s="4">
        <f>M41*0.58</f>
        <v>3111.12</v>
      </c>
      <c r="O41" s="4">
        <f t="shared" si="1"/>
        <v>2252.88</v>
      </c>
    </row>
    <row r="42" spans="1:15" x14ac:dyDescent="0.25">
      <c r="L42">
        <v>12</v>
      </c>
      <c r="M42">
        <v>4067</v>
      </c>
      <c r="N42" s="4">
        <f t="shared" ref="N42:N43" si="4">M42*0.58</f>
        <v>2358.8599999999997</v>
      </c>
      <c r="O42" s="4">
        <f t="shared" si="1"/>
        <v>1708.1400000000003</v>
      </c>
    </row>
    <row r="43" spans="1:15" x14ac:dyDescent="0.25">
      <c r="L43">
        <v>12</v>
      </c>
      <c r="M43">
        <v>12164</v>
      </c>
      <c r="N43" s="4">
        <f t="shared" si="4"/>
        <v>7055.12</v>
      </c>
      <c r="O43" s="4">
        <f t="shared" si="1"/>
        <v>5108.88</v>
      </c>
    </row>
    <row r="44" spans="1:15" x14ac:dyDescent="0.25">
      <c r="L44">
        <v>16</v>
      </c>
      <c r="M44">
        <v>8565</v>
      </c>
      <c r="N44" s="4">
        <f>M44*0.5</f>
        <v>4282.5</v>
      </c>
      <c r="O44" s="4">
        <f t="shared" si="1"/>
        <v>4282.5</v>
      </c>
    </row>
    <row r="45" spans="1:15" x14ac:dyDescent="0.25">
      <c r="L45">
        <v>16</v>
      </c>
      <c r="M45">
        <v>12081</v>
      </c>
      <c r="N45" s="4">
        <f t="shared" ref="N45:N46" si="5">M45*0.5</f>
        <v>6040.5</v>
      </c>
      <c r="O45" s="4">
        <f t="shared" si="1"/>
        <v>6040.5</v>
      </c>
    </row>
    <row r="46" spans="1:15" x14ac:dyDescent="0.25">
      <c r="L46">
        <v>16</v>
      </c>
      <c r="M46">
        <v>8492</v>
      </c>
      <c r="N46" s="4">
        <f t="shared" si="5"/>
        <v>4246</v>
      </c>
      <c r="O46" s="4">
        <f t="shared" si="1"/>
        <v>4246</v>
      </c>
    </row>
    <row r="47" spans="1:15" x14ac:dyDescent="0.25">
      <c r="L47">
        <v>24</v>
      </c>
      <c r="M47">
        <v>9258</v>
      </c>
      <c r="N47" s="4">
        <f>M47*0.36</f>
        <v>3332.8799999999997</v>
      </c>
      <c r="O47" s="4">
        <f t="shared" si="1"/>
        <v>5925.1200000000008</v>
      </c>
    </row>
    <row r="48" spans="1:15" x14ac:dyDescent="0.25">
      <c r="L48">
        <v>24</v>
      </c>
      <c r="M48">
        <v>9762</v>
      </c>
      <c r="N48" s="4">
        <f t="shared" ref="N48:N49" si="6">M48*0.36</f>
        <v>3514.3199999999997</v>
      </c>
      <c r="O48" s="4">
        <f t="shared" si="1"/>
        <v>6247.68</v>
      </c>
    </row>
    <row r="49" spans="12:15" x14ac:dyDescent="0.25">
      <c r="L49">
        <v>24</v>
      </c>
      <c r="M49">
        <v>12267</v>
      </c>
      <c r="N49" s="4">
        <f t="shared" si="6"/>
        <v>4416.12</v>
      </c>
      <c r="O49" s="4">
        <f t="shared" si="1"/>
        <v>7850.88</v>
      </c>
    </row>
    <row r="50" spans="12:15" x14ac:dyDescent="0.25">
      <c r="L50">
        <v>36</v>
      </c>
      <c r="M50">
        <v>11910</v>
      </c>
      <c r="N50" s="4">
        <f>M50*0.24</f>
        <v>2858.4</v>
      </c>
      <c r="O50" s="4">
        <f t="shared" si="1"/>
        <v>9051.6</v>
      </c>
    </row>
    <row r="51" spans="12:15" x14ac:dyDescent="0.25">
      <c r="L51">
        <v>36</v>
      </c>
      <c r="M51">
        <v>13318</v>
      </c>
      <c r="N51" s="4">
        <f t="shared" ref="N51:N52" si="7">M51*0.24</f>
        <v>3196.3199999999997</v>
      </c>
      <c r="O51" s="4">
        <f t="shared" si="1"/>
        <v>10121.68</v>
      </c>
    </row>
    <row r="52" spans="12:15" x14ac:dyDescent="0.25">
      <c r="L52">
        <v>36</v>
      </c>
      <c r="M52">
        <v>14314</v>
      </c>
      <c r="N52" s="4">
        <f t="shared" si="7"/>
        <v>3435.3599999999997</v>
      </c>
      <c r="O52" s="4">
        <f t="shared" si="1"/>
        <v>10878.64</v>
      </c>
    </row>
  </sheetData>
  <pageMargins left="0.75" right="0.75" top="1" bottom="1" header="0.5" footer="0.5"/>
  <pageSetup orientation="portrait" horizontalDpi="4294967292" verticalDpi="4294967292"/>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sheetPr>
  <dimension ref="A1:J43"/>
  <sheetViews>
    <sheetView topLeftCell="A13" workbookViewId="0">
      <selection activeCell="C27" sqref="C27"/>
    </sheetView>
  </sheetViews>
  <sheetFormatPr defaultColWidth="11" defaultRowHeight="15.75" x14ac:dyDescent="0.25"/>
  <cols>
    <col min="2" max="2" width="22.375" customWidth="1"/>
    <col min="3" max="3" width="8.875" customWidth="1"/>
    <col min="6" max="6" width="12" customWidth="1"/>
  </cols>
  <sheetData>
    <row r="1" spans="1:10" x14ac:dyDescent="0.25">
      <c r="C1" t="s">
        <v>102</v>
      </c>
      <c r="D1">
        <v>19</v>
      </c>
      <c r="E1">
        <v>21</v>
      </c>
    </row>
    <row r="3" spans="1:10" x14ac:dyDescent="0.25">
      <c r="A3" t="s">
        <v>75</v>
      </c>
      <c r="B3" t="s">
        <v>129</v>
      </c>
      <c r="C3" t="s">
        <v>130</v>
      </c>
      <c r="D3" t="s">
        <v>131</v>
      </c>
      <c r="E3" t="s">
        <v>132</v>
      </c>
      <c r="F3" t="s">
        <v>133</v>
      </c>
      <c r="H3" t="s">
        <v>134</v>
      </c>
    </row>
    <row r="4" spans="1:10" x14ac:dyDescent="0.25">
      <c r="A4" t="s">
        <v>136</v>
      </c>
      <c r="B4">
        <v>3</v>
      </c>
      <c r="C4">
        <f>B4/10</f>
        <v>0.3</v>
      </c>
      <c r="D4" s="4">
        <f t="shared" ref="D4:D31" si="0">(C4*391*1000)/(2220000*10.9)</f>
        <v>4.8475080585172331E-3</v>
      </c>
      <c r="E4" s="4"/>
      <c r="J4" s="19"/>
    </row>
    <row r="5" spans="1:10" x14ac:dyDescent="0.25">
      <c r="A5" t="s">
        <v>137</v>
      </c>
      <c r="B5">
        <v>95</v>
      </c>
      <c r="C5">
        <f t="shared" ref="C5:C31" si="1">B5/2000</f>
        <v>4.7500000000000001E-2</v>
      </c>
      <c r="D5" s="2">
        <f t="shared" si="0"/>
        <v>7.6752210926522857E-4</v>
      </c>
      <c r="E5" s="4">
        <f t="shared" ref="E5:E31" si="2">D5*1000*1000</f>
        <v>767.52210926522855</v>
      </c>
    </row>
    <row r="6" spans="1:10" x14ac:dyDescent="0.25">
      <c r="A6" t="s">
        <v>138</v>
      </c>
      <c r="B6">
        <v>101</v>
      </c>
      <c r="C6">
        <f t="shared" si="1"/>
        <v>5.0500000000000003E-2</v>
      </c>
      <c r="D6" s="2">
        <f t="shared" si="0"/>
        <v>8.1599718985040086E-4</v>
      </c>
      <c r="E6" s="4">
        <f t="shared" si="2"/>
        <v>815.99718985040079</v>
      </c>
    </row>
    <row r="7" spans="1:10" x14ac:dyDescent="0.25">
      <c r="A7" t="s">
        <v>139</v>
      </c>
      <c r="B7">
        <v>85</v>
      </c>
      <c r="C7">
        <f t="shared" si="1"/>
        <v>4.2500000000000003E-2</v>
      </c>
      <c r="D7" s="2">
        <f t="shared" si="0"/>
        <v>6.867303082899413E-4</v>
      </c>
      <c r="E7" s="4">
        <f t="shared" si="2"/>
        <v>686.73030828994126</v>
      </c>
    </row>
    <row r="8" spans="1:10" x14ac:dyDescent="0.25">
      <c r="A8" t="s">
        <v>181</v>
      </c>
      <c r="B8">
        <v>92</v>
      </c>
      <c r="C8">
        <f t="shared" si="1"/>
        <v>4.5999999999999999E-2</v>
      </c>
      <c r="D8" s="2">
        <f t="shared" si="0"/>
        <v>7.4328456897264242E-4</v>
      </c>
      <c r="E8" s="4">
        <f t="shared" si="2"/>
        <v>743.28456897264243</v>
      </c>
    </row>
    <row r="9" spans="1:10" x14ac:dyDescent="0.25">
      <c r="A9" t="s">
        <v>140</v>
      </c>
      <c r="B9">
        <v>83</v>
      </c>
      <c r="C9">
        <f t="shared" si="1"/>
        <v>4.1500000000000002E-2</v>
      </c>
      <c r="D9" s="2">
        <f t="shared" si="0"/>
        <v>6.7057194809488397E-4</v>
      </c>
      <c r="E9" s="4">
        <f t="shared" si="2"/>
        <v>670.57194809488396</v>
      </c>
    </row>
    <row r="10" spans="1:10" x14ac:dyDescent="0.25">
      <c r="A10" t="s">
        <v>141</v>
      </c>
      <c r="B10">
        <v>87</v>
      </c>
      <c r="C10">
        <f t="shared" si="1"/>
        <v>4.3499999999999997E-2</v>
      </c>
      <c r="D10" s="2">
        <f t="shared" si="0"/>
        <v>7.0288866848499862E-4</v>
      </c>
      <c r="E10" s="4">
        <f t="shared" si="2"/>
        <v>702.88866848499868</v>
      </c>
    </row>
    <row r="11" spans="1:10" x14ac:dyDescent="0.25">
      <c r="A11" t="s">
        <v>143</v>
      </c>
      <c r="B11">
        <v>98</v>
      </c>
      <c r="C11">
        <f t="shared" si="1"/>
        <v>4.9000000000000002E-2</v>
      </c>
      <c r="D11" s="2">
        <f t="shared" si="0"/>
        <v>7.9175964955781482E-4</v>
      </c>
      <c r="E11" s="4">
        <f t="shared" si="2"/>
        <v>791.7596495578149</v>
      </c>
      <c r="F11" s="4">
        <f>AVERAGE(E11:E13)</f>
        <v>635.56216767225942</v>
      </c>
      <c r="G11" s="27">
        <f>STDEV(E11:E13)/F11</f>
        <v>0.21622628512157818</v>
      </c>
      <c r="H11" s="13">
        <f t="shared" ref="H11:H28" si="3">E11/1000</f>
        <v>0.79175964955781486</v>
      </c>
      <c r="I11">
        <v>3</v>
      </c>
    </row>
    <row r="12" spans="1:10" x14ac:dyDescent="0.25">
      <c r="A12" t="s">
        <v>144</v>
      </c>
      <c r="B12">
        <v>66</v>
      </c>
      <c r="C12">
        <f t="shared" si="1"/>
        <v>3.3000000000000002E-2</v>
      </c>
      <c r="D12" s="2">
        <f t="shared" si="0"/>
        <v>5.3322588643689558E-4</v>
      </c>
      <c r="E12" s="4">
        <f t="shared" si="2"/>
        <v>533.22588643689562</v>
      </c>
      <c r="H12" s="13">
        <f t="shared" si="3"/>
        <v>0.53322588643689561</v>
      </c>
      <c r="I12">
        <v>3</v>
      </c>
    </row>
    <row r="13" spans="1:10" x14ac:dyDescent="0.25">
      <c r="A13" t="s">
        <v>145</v>
      </c>
      <c r="B13">
        <v>72</v>
      </c>
      <c r="C13">
        <f t="shared" si="1"/>
        <v>3.5999999999999997E-2</v>
      </c>
      <c r="D13" s="2">
        <f t="shared" si="0"/>
        <v>5.8170096702206788E-4</v>
      </c>
      <c r="E13" s="4">
        <f t="shared" si="2"/>
        <v>581.70096702206786</v>
      </c>
      <c r="H13" s="13">
        <f t="shared" si="3"/>
        <v>0.58170096702206786</v>
      </c>
      <c r="I13">
        <v>3</v>
      </c>
    </row>
    <row r="14" spans="1:10" x14ac:dyDescent="0.25">
      <c r="A14" t="s">
        <v>146</v>
      </c>
      <c r="B14">
        <v>79</v>
      </c>
      <c r="C14">
        <f t="shared" si="1"/>
        <v>3.95E-2</v>
      </c>
      <c r="D14" s="2">
        <f t="shared" si="0"/>
        <v>6.38255227704769E-4</v>
      </c>
      <c r="E14" s="4">
        <f t="shared" si="2"/>
        <v>638.25522770476903</v>
      </c>
      <c r="F14" s="4">
        <f>AVERAGE(E14:E16)</f>
        <v>579.00790698955836</v>
      </c>
      <c r="G14" s="27">
        <f>STDEV(E14:E16)/F14</f>
        <v>9.2906903978782263E-2</v>
      </c>
      <c r="H14" s="13">
        <f t="shared" si="3"/>
        <v>0.63825522770476906</v>
      </c>
      <c r="I14">
        <v>6</v>
      </c>
    </row>
    <row r="15" spans="1:10" x14ac:dyDescent="0.25">
      <c r="A15" t="s">
        <v>147</v>
      </c>
      <c r="B15">
        <v>66</v>
      </c>
      <c r="C15">
        <f t="shared" si="1"/>
        <v>3.3000000000000002E-2</v>
      </c>
      <c r="D15" s="2">
        <f t="shared" si="0"/>
        <v>5.3322588643689558E-4</v>
      </c>
      <c r="E15" s="4">
        <f t="shared" si="2"/>
        <v>533.22588643689562</v>
      </c>
      <c r="H15" s="13">
        <f t="shared" si="3"/>
        <v>0.53322588643689561</v>
      </c>
      <c r="I15">
        <v>6</v>
      </c>
    </row>
    <row r="16" spans="1:10" x14ac:dyDescent="0.25">
      <c r="A16" t="s">
        <v>148</v>
      </c>
      <c r="B16">
        <v>70</v>
      </c>
      <c r="C16">
        <f t="shared" si="1"/>
        <v>3.5000000000000003E-2</v>
      </c>
      <c r="D16" s="2">
        <f t="shared" si="0"/>
        <v>5.6554260682701045E-4</v>
      </c>
      <c r="E16" s="4">
        <f t="shared" si="2"/>
        <v>565.54260682701045</v>
      </c>
      <c r="H16" s="13">
        <f t="shared" si="3"/>
        <v>0.56554260682701041</v>
      </c>
      <c r="I16">
        <v>6</v>
      </c>
    </row>
    <row r="17" spans="1:9" x14ac:dyDescent="0.25">
      <c r="A17" t="s">
        <v>149</v>
      </c>
      <c r="B17">
        <v>67</v>
      </c>
      <c r="C17">
        <f t="shared" si="1"/>
        <v>3.3500000000000002E-2</v>
      </c>
      <c r="D17" s="2">
        <f t="shared" si="0"/>
        <v>5.4130506653442441E-4</v>
      </c>
      <c r="E17" s="4">
        <f t="shared" si="2"/>
        <v>541.30506653442444</v>
      </c>
      <c r="F17" s="4">
        <f>AVERAGE(E17:E19)</f>
        <v>484.75080585172333</v>
      </c>
      <c r="G17" s="27">
        <f>STDEV(E17:E19)/F17</f>
        <v>0.10137937550497045</v>
      </c>
      <c r="H17" s="13">
        <f t="shared" si="3"/>
        <v>0.54130506653442445</v>
      </c>
      <c r="I17">
        <v>12</v>
      </c>
    </row>
    <row r="18" spans="1:9" x14ac:dyDescent="0.25">
      <c r="A18" t="s">
        <v>150</v>
      </c>
      <c r="B18">
        <v>56</v>
      </c>
      <c r="C18">
        <f t="shared" si="1"/>
        <v>2.8000000000000001E-2</v>
      </c>
      <c r="D18" s="2">
        <f t="shared" si="0"/>
        <v>4.5243408546160842E-4</v>
      </c>
      <c r="E18" s="4">
        <f t="shared" si="2"/>
        <v>452.43408546160839</v>
      </c>
      <c r="H18" s="13">
        <f t="shared" si="3"/>
        <v>0.4524340854616084</v>
      </c>
      <c r="I18">
        <v>12</v>
      </c>
    </row>
    <row r="19" spans="1:9" x14ac:dyDescent="0.25">
      <c r="A19" t="s">
        <v>151</v>
      </c>
      <c r="B19">
        <v>57</v>
      </c>
      <c r="C19">
        <f t="shared" si="1"/>
        <v>2.8500000000000001E-2</v>
      </c>
      <c r="D19" s="2">
        <f t="shared" si="0"/>
        <v>4.6051326555913714E-4</v>
      </c>
      <c r="E19" s="4">
        <f t="shared" si="2"/>
        <v>460.51326555913715</v>
      </c>
      <c r="H19" s="13">
        <f t="shared" si="3"/>
        <v>0.46051326555913713</v>
      </c>
      <c r="I19">
        <v>12</v>
      </c>
    </row>
    <row r="20" spans="1:9" x14ac:dyDescent="0.25">
      <c r="A20" t="s">
        <v>182</v>
      </c>
      <c r="B20">
        <v>79</v>
      </c>
      <c r="C20">
        <f t="shared" si="1"/>
        <v>3.95E-2</v>
      </c>
      <c r="D20" s="2">
        <f t="shared" si="0"/>
        <v>6.38255227704769E-4</v>
      </c>
      <c r="E20" s="4">
        <f t="shared" si="2"/>
        <v>638.25522770476903</v>
      </c>
      <c r="F20" s="4">
        <f>AVERAGE(E20:E22)</f>
        <v>565.54260682701045</v>
      </c>
      <c r="G20" s="27">
        <f>STDEV(E20:E22)/F20</f>
        <v>0.1115749953700951</v>
      </c>
      <c r="H20" s="13">
        <f t="shared" si="3"/>
        <v>0.63825522770476906</v>
      </c>
      <c r="I20">
        <v>16</v>
      </c>
    </row>
    <row r="21" spans="1:9" x14ac:dyDescent="0.25">
      <c r="A21" t="s">
        <v>183</v>
      </c>
      <c r="B21">
        <v>65</v>
      </c>
      <c r="C21">
        <f t="shared" si="1"/>
        <v>3.2500000000000001E-2</v>
      </c>
      <c r="D21" s="2">
        <f t="shared" si="0"/>
        <v>5.2514670633936687E-4</v>
      </c>
      <c r="E21" s="4">
        <f t="shared" si="2"/>
        <v>525.14670633936692</v>
      </c>
      <c r="H21" s="13">
        <f t="shared" si="3"/>
        <v>0.52514670633936689</v>
      </c>
      <c r="I21">
        <v>16</v>
      </c>
    </row>
    <row r="22" spans="1:9" x14ac:dyDescent="0.25">
      <c r="A22" t="s">
        <v>184</v>
      </c>
      <c r="B22">
        <v>66</v>
      </c>
      <c r="C22">
        <f t="shared" si="1"/>
        <v>3.3000000000000002E-2</v>
      </c>
      <c r="D22" s="2">
        <f t="shared" si="0"/>
        <v>5.3322588643689558E-4</v>
      </c>
      <c r="E22" s="4">
        <f t="shared" si="2"/>
        <v>533.22588643689562</v>
      </c>
      <c r="H22" s="13">
        <f t="shared" si="3"/>
        <v>0.53322588643689561</v>
      </c>
      <c r="I22">
        <v>16</v>
      </c>
    </row>
    <row r="23" spans="1:9" x14ac:dyDescent="0.25">
      <c r="A23" t="s">
        <v>152</v>
      </c>
      <c r="B23">
        <v>61</v>
      </c>
      <c r="C23">
        <f t="shared" si="1"/>
        <v>3.0499999999999999E-2</v>
      </c>
      <c r="D23" s="2">
        <f t="shared" si="0"/>
        <v>4.92829985949252E-4</v>
      </c>
      <c r="E23" s="4">
        <f t="shared" si="2"/>
        <v>492.82998594925198</v>
      </c>
      <c r="F23" s="4">
        <f>AVERAGE(E23:E25)</f>
        <v>490.13692591674243</v>
      </c>
      <c r="G23" s="27">
        <f>STDEV(E23:E25)/F23</f>
        <v>4.1482606787201899E-2</v>
      </c>
      <c r="H23" s="13">
        <f t="shared" si="3"/>
        <v>0.49282998594925198</v>
      </c>
      <c r="I23">
        <v>24</v>
      </c>
    </row>
    <row r="24" spans="1:9" x14ac:dyDescent="0.25">
      <c r="A24" t="s">
        <v>153</v>
      </c>
      <c r="B24">
        <v>58</v>
      </c>
      <c r="C24">
        <f t="shared" si="1"/>
        <v>2.9000000000000001E-2</v>
      </c>
      <c r="D24" s="2">
        <f t="shared" si="0"/>
        <v>4.6859244565666586E-4</v>
      </c>
      <c r="E24" s="4">
        <f t="shared" si="2"/>
        <v>468.59244565666586</v>
      </c>
      <c r="H24" s="13">
        <f t="shared" si="3"/>
        <v>0.46859244565666586</v>
      </c>
      <c r="I24">
        <v>24</v>
      </c>
    </row>
    <row r="25" spans="1:9" x14ac:dyDescent="0.25">
      <c r="A25" t="s">
        <v>154</v>
      </c>
      <c r="B25">
        <v>63</v>
      </c>
      <c r="C25">
        <f t="shared" si="1"/>
        <v>3.15E-2</v>
      </c>
      <c r="D25" s="2">
        <f t="shared" si="0"/>
        <v>5.0898834614430944E-4</v>
      </c>
      <c r="E25" s="4">
        <f t="shared" si="2"/>
        <v>508.98834614430945</v>
      </c>
      <c r="H25" s="13">
        <f t="shared" si="3"/>
        <v>0.50898834614430943</v>
      </c>
      <c r="I25">
        <v>24</v>
      </c>
    </row>
    <row r="26" spans="1:9" x14ac:dyDescent="0.25">
      <c r="A26" t="s">
        <v>155</v>
      </c>
      <c r="B26">
        <v>59</v>
      </c>
      <c r="C26">
        <f t="shared" si="1"/>
        <v>2.9499999999999998E-2</v>
      </c>
      <c r="D26" s="2">
        <f t="shared" si="0"/>
        <v>4.7667162575419457E-4</v>
      </c>
      <c r="E26" s="4">
        <f t="shared" si="2"/>
        <v>476.67162575419457</v>
      </c>
      <c r="F26" s="4">
        <f>AVERAGE(E26:E28)</f>
        <v>479.36468578670411</v>
      </c>
      <c r="G26" s="27">
        <f>STDEV(E26:E28)/F26</f>
        <v>0.14334102047385436</v>
      </c>
      <c r="H26" s="13">
        <f t="shared" si="3"/>
        <v>0.47667162575419458</v>
      </c>
      <c r="I26">
        <v>36</v>
      </c>
    </row>
    <row r="27" spans="1:9" x14ac:dyDescent="0.25">
      <c r="A27" t="s">
        <v>156</v>
      </c>
      <c r="B27">
        <v>51</v>
      </c>
      <c r="C27">
        <f t="shared" si="1"/>
        <v>2.5499999999999998E-2</v>
      </c>
      <c r="D27" s="2">
        <f t="shared" si="0"/>
        <v>4.1203818497396479E-4</v>
      </c>
      <c r="E27" s="4">
        <f t="shared" si="2"/>
        <v>412.03818497396475</v>
      </c>
      <c r="H27" s="13">
        <f t="shared" si="3"/>
        <v>0.41203818497396477</v>
      </c>
      <c r="I27">
        <v>36</v>
      </c>
    </row>
    <row r="28" spans="1:9" x14ac:dyDescent="0.25">
      <c r="A28" t="s">
        <v>157</v>
      </c>
      <c r="B28">
        <v>68</v>
      </c>
      <c r="C28">
        <f t="shared" si="1"/>
        <v>3.4000000000000002E-2</v>
      </c>
      <c r="D28" s="2">
        <f t="shared" si="0"/>
        <v>5.4938424663195302E-4</v>
      </c>
      <c r="E28" s="4">
        <f t="shared" si="2"/>
        <v>549.38424663195303</v>
      </c>
      <c r="H28" s="13">
        <f t="shared" si="3"/>
        <v>0.54938424663195307</v>
      </c>
      <c r="I28">
        <v>36</v>
      </c>
    </row>
    <row r="29" spans="1:9" x14ac:dyDescent="0.25">
      <c r="A29" t="s">
        <v>99</v>
      </c>
      <c r="B29">
        <v>1</v>
      </c>
      <c r="C29">
        <f t="shared" si="1"/>
        <v>5.0000000000000001E-4</v>
      </c>
      <c r="D29" s="2">
        <f t="shared" si="0"/>
        <v>8.0791800975287211E-6</v>
      </c>
      <c r="E29" s="4">
        <f t="shared" si="2"/>
        <v>8.079180097528722</v>
      </c>
      <c r="F29" s="4">
        <f>AVERAGE(E29:E31)</f>
        <v>2.6930600325095742</v>
      </c>
    </row>
    <row r="30" spans="1:9" x14ac:dyDescent="0.25">
      <c r="A30" t="s">
        <v>100</v>
      </c>
      <c r="B30">
        <v>0</v>
      </c>
      <c r="C30">
        <f t="shared" si="1"/>
        <v>0</v>
      </c>
      <c r="D30" s="2">
        <f t="shared" si="0"/>
        <v>0</v>
      </c>
      <c r="E30" s="4">
        <f t="shared" si="2"/>
        <v>0</v>
      </c>
    </row>
    <row r="31" spans="1:9" x14ac:dyDescent="0.25">
      <c r="A31" t="s">
        <v>101</v>
      </c>
      <c r="B31">
        <v>0</v>
      </c>
      <c r="C31">
        <f t="shared" si="1"/>
        <v>0</v>
      </c>
      <c r="D31" s="2">
        <f t="shared" si="0"/>
        <v>0</v>
      </c>
      <c r="E31" s="4">
        <f t="shared" si="2"/>
        <v>0</v>
      </c>
    </row>
    <row r="32" spans="1:9" x14ac:dyDescent="0.25">
      <c r="D32" s="2"/>
      <c r="E32" s="4"/>
    </row>
    <row r="33" spans="1:5" x14ac:dyDescent="0.25">
      <c r="D33" s="2"/>
      <c r="E33" s="4"/>
    </row>
    <row r="34" spans="1:5" x14ac:dyDescent="0.25">
      <c r="A34" s="14" t="s">
        <v>164</v>
      </c>
      <c r="B34" s="14">
        <f t="array" ref="B34:C38">LINEST(E11:E28,I11:I28,TRUE,TRUE)</f>
        <v>-4.0356940126612431</v>
      </c>
      <c r="C34" s="15">
        <v>604.30456971202307</v>
      </c>
      <c r="D34" s="16" t="s">
        <v>165</v>
      </c>
      <c r="E34" s="17"/>
    </row>
    <row r="35" spans="1:5" x14ac:dyDescent="0.25">
      <c r="A35" s="14" t="s">
        <v>166</v>
      </c>
      <c r="B35" s="14">
        <v>1.5962230912674751</v>
      </c>
      <c r="C35" s="15">
        <v>31.367577581504602</v>
      </c>
      <c r="D35" s="16" t="s">
        <v>166</v>
      </c>
      <c r="E35" s="17"/>
    </row>
    <row r="36" spans="1:5" x14ac:dyDescent="0.25">
      <c r="A36" s="14" t="s">
        <v>167</v>
      </c>
      <c r="B36" s="14">
        <v>0.28546497109963448</v>
      </c>
      <c r="C36" s="15">
        <v>75.656596572374482</v>
      </c>
      <c r="D36" s="16" t="s">
        <v>168</v>
      </c>
      <c r="E36" s="17"/>
    </row>
    <row r="37" spans="1:5" x14ac:dyDescent="0.25">
      <c r="A37" s="14" t="s">
        <v>169</v>
      </c>
      <c r="B37" s="14">
        <v>6.3921842217073914</v>
      </c>
      <c r="C37" s="15">
        <v>16</v>
      </c>
      <c r="D37" s="16" t="s">
        <v>170</v>
      </c>
      <c r="E37" s="17"/>
    </row>
    <row r="38" spans="1:5" x14ac:dyDescent="0.25">
      <c r="A38" s="14" t="s">
        <v>171</v>
      </c>
      <c r="B38" s="14">
        <v>36588.354977043666</v>
      </c>
      <c r="C38" s="15">
        <v>91582.729678640433</v>
      </c>
      <c r="D38" s="16" t="s">
        <v>172</v>
      </c>
      <c r="E38" s="17"/>
    </row>
    <row r="39" spans="1:5" x14ac:dyDescent="0.25">
      <c r="D39" s="2"/>
      <c r="E39" s="4"/>
    </row>
    <row r="40" spans="1:5" x14ac:dyDescent="0.25">
      <c r="D40" s="2"/>
      <c r="E40" s="4"/>
    </row>
    <row r="41" spans="1:5" x14ac:dyDescent="0.25">
      <c r="A41" s="14" t="s">
        <v>173</v>
      </c>
      <c r="B41" s="14">
        <f>B34/B35</f>
        <v>-2.5282769274166528</v>
      </c>
      <c r="D41" s="2"/>
      <c r="E41" s="4"/>
    </row>
    <row r="42" spans="1:5" x14ac:dyDescent="0.25">
      <c r="A42" s="14" t="s">
        <v>174</v>
      </c>
      <c r="B42" s="14">
        <f>TDIST(ABS(B41),C37,2)</f>
        <v>2.2363201066734523E-2</v>
      </c>
      <c r="C42" t="s">
        <v>190</v>
      </c>
      <c r="D42" s="2"/>
      <c r="E42" s="4"/>
    </row>
    <row r="43" spans="1:5" x14ac:dyDescent="0.25">
      <c r="D43" s="2"/>
      <c r="E43" s="4"/>
    </row>
  </sheetData>
  <pageMargins left="0.75" right="0.75" top="1" bottom="1" header="0.5" footer="0.5"/>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Descriptions</vt:lpstr>
      <vt:lpstr>Toxicokinetic Parameter Summary</vt:lpstr>
      <vt:lpstr>Mosher Masses 0.2 18</vt:lpstr>
      <vt:lpstr>Mosher TotalsMetabolites 0.2 18</vt:lpstr>
      <vt:lpstr>Mosher Water Samples 0.2 18</vt:lpstr>
      <vt:lpstr>Mosher Masses 1.0 18</vt:lpstr>
      <vt:lpstr>Mosher TotalsMetabolites 1.0 18</vt:lpstr>
      <vt:lpstr>Mosher Water Samples 1.0 18</vt:lpstr>
      <vt:lpstr>Mosher Masses 6.0 18</vt:lpstr>
      <vt:lpstr>Mosher TotalsMetabolites 6.0 18</vt:lpstr>
      <vt:lpstr>Mosher Water Samples 6.0 18</vt:lpstr>
      <vt:lpstr>Mosher Masses 0.2 23</vt:lpstr>
      <vt:lpstr>Mosher TotalsMetabolites 0.2 23</vt:lpstr>
      <vt:lpstr>Mosher Water Samples 0.2 23</vt:lpstr>
      <vt:lpstr>Mosher Masses 1.0 23</vt:lpstr>
      <vt:lpstr>Mosher TotalsMetabolites 1.0 23</vt:lpstr>
      <vt:lpstr>Mosher Water Samples 1.0 23</vt:lpstr>
      <vt:lpstr>Mosher Masses 6.0 23</vt:lpstr>
      <vt:lpstr>Mosher TotalsMetabolites 6.0 23</vt:lpstr>
      <vt:lpstr>Mosher Water Samples 6.0 23</vt:lpstr>
      <vt:lpstr>Mosher Masses 0.2 28</vt:lpstr>
      <vt:lpstr>Mosher TotalsMetabolites 0.2 28</vt:lpstr>
      <vt:lpstr>Mosher  Water Samples 0.2 28</vt:lpstr>
      <vt:lpstr>Mosher Masses 1.0 28</vt:lpstr>
      <vt:lpstr>Mosher TotalsMetabolites 1.0 28</vt:lpstr>
      <vt:lpstr>Mosher Water Samples 1.0 28</vt:lpstr>
      <vt:lpstr>Mosher Masses 6.0 28</vt:lpstr>
      <vt:lpstr>Mosher TotalsMetabolites 6.0 28</vt:lpstr>
      <vt:lpstr>Mosher Water Samples 6.0 28</vt:lpstr>
      <vt:lpstr>Esc Masses 0.2 18</vt:lpstr>
      <vt:lpstr>Esc TotalsMetabolites 0.2 18</vt:lpstr>
      <vt:lpstr>Esc Water Samples 0.2 18</vt:lpstr>
      <vt:lpstr>Esc Masses 1.0 18</vt:lpstr>
      <vt:lpstr>Esc TotalsMetabolites 1.0 18</vt:lpstr>
      <vt:lpstr>Esc Water Samples 1.0 18</vt:lpstr>
      <vt:lpstr>Esc Masses 6.0 18</vt:lpstr>
      <vt:lpstr>Esc TotalsMetabolites 6.0 18</vt:lpstr>
      <vt:lpstr>Esc Water Samples 6.0 18</vt:lpstr>
      <vt:lpstr>Esc Masses 0.2 23</vt:lpstr>
      <vt:lpstr>Esc TotalsMetabolites 0.2 23</vt:lpstr>
      <vt:lpstr>Esc Water Samples 0.2 23</vt:lpstr>
      <vt:lpstr>Esc Masses 1.0 23</vt:lpstr>
      <vt:lpstr>Esc TotalsMetabolites 1.0 23</vt:lpstr>
      <vt:lpstr>Esc Water Samples 1.0 23</vt:lpstr>
      <vt:lpstr>Esc Masses 6.0 23</vt:lpstr>
      <vt:lpstr>Esc TotalsMetabolites 6.0 23</vt:lpstr>
      <vt:lpstr>Esc Water Samples 6.0 23</vt:lpstr>
      <vt:lpstr>Esc Masses 0.2 28</vt:lpstr>
      <vt:lpstr>Esc TotalsMetabolites 0.2 28</vt:lpstr>
      <vt:lpstr>Esc Water Samples 0.2 28</vt:lpstr>
      <vt:lpstr>Esc Masses 1.0 28</vt:lpstr>
      <vt:lpstr>Esc TotalsMetabolites 1.0 28</vt:lpstr>
      <vt:lpstr>Esc Water Samples 1.0 28</vt:lpstr>
      <vt:lpstr>Esc Masses 6.0 28</vt:lpstr>
      <vt:lpstr>Esc TotalsMetabolites 6.0 28</vt:lpstr>
      <vt:lpstr>Esc Water Samples 6.0 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2021-06-28T16:53:09Z</dcterms:created>
  <dcterms:modified xsi:type="dcterms:W3CDTF">2021-06-28T21:41:21Z</dcterms:modified>
  <cp:category/>
  <cp:contentStatus/>
</cp:coreProperties>
</file>