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/>
  <xr:revisionPtr revIDLastSave="0" documentId="13_ncr:1_{6C260BEC-3E9F-44F2-AFD2-0C6A83A64F85}" xr6:coauthVersionLast="36" xr6:coauthVersionMax="36" xr10:uidLastSave="{00000000-0000-0000-0000-000000000000}"/>
  <bookViews>
    <workbookView xWindow="0" yWindow="0" windowWidth="29010" windowHeight="11715" xr2:uid="{00000000-000D-0000-FFFF-FFFF00000000}"/>
  </bookViews>
  <sheets>
    <sheet name="Cover Sheet" sheetId="25" r:id="rId1"/>
    <sheet name="Survival_SexRatio NR" sheetId="1" r:id="rId2"/>
    <sheet name="Survival_SexRatio EC" sheetId="4" r:id="rId3"/>
    <sheet name="Reproduction NR" sheetId="5" r:id="rId4"/>
    <sheet name="Reproduction EC" sheetId="6" r:id="rId5"/>
    <sheet name="Lipids NR 0.2ppt" sheetId="7" r:id="rId6"/>
    <sheet name="Lipids NR 6.0ppt" sheetId="17" r:id="rId7"/>
    <sheet name="Lipids EC 0.2ppt" sheetId="19" r:id="rId8"/>
    <sheet name="Lipids EC 6.0ppt" sheetId="18" r:id="rId9"/>
    <sheet name="Dry Mass_NR" sheetId="13" r:id="rId10"/>
    <sheet name="Dry Mass_EC" sheetId="16" r:id="rId11"/>
    <sheet name="Water Quality NR 0.2 ppt" sheetId="21" r:id="rId12"/>
    <sheet name="Water Quality NR 6.0 ppt" sheetId="22" r:id="rId13"/>
    <sheet name="Water Quality EC 0.2 ppt" sheetId="23" r:id="rId14"/>
    <sheet name="Water Quality EC 6.0 ppt" sheetId="2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9" l="1"/>
  <c r="G10" i="19"/>
  <c r="G11" i="19"/>
  <c r="G12" i="19"/>
  <c r="G8" i="19"/>
  <c r="O44" i="19"/>
  <c r="G64" i="19" l="1"/>
  <c r="G63" i="19"/>
  <c r="G62" i="19"/>
  <c r="G27" i="19"/>
  <c r="G26" i="19"/>
  <c r="G25" i="19"/>
  <c r="G17" i="19"/>
  <c r="G16" i="19"/>
  <c r="G15" i="19"/>
  <c r="O57" i="19"/>
  <c r="O56" i="19"/>
  <c r="O55" i="19"/>
  <c r="O54" i="19"/>
  <c r="O52" i="19"/>
  <c r="O51" i="19"/>
  <c r="O50" i="19"/>
  <c r="O49" i="19"/>
  <c r="O48" i="19"/>
  <c r="O47" i="19"/>
  <c r="O46" i="19"/>
  <c r="O45" i="19"/>
  <c r="O43" i="19"/>
  <c r="F17" i="5" l="1"/>
  <c r="F9" i="6"/>
  <c r="F12" i="6"/>
  <c r="F13" i="6"/>
  <c r="F17" i="6"/>
  <c r="F20" i="6"/>
  <c r="F21" i="6"/>
  <c r="J5" i="4"/>
  <c r="F5" i="6" s="1"/>
  <c r="J6" i="4"/>
  <c r="F6" i="6" s="1"/>
  <c r="J7" i="4"/>
  <c r="F7" i="6" s="1"/>
  <c r="J8" i="4"/>
  <c r="F8" i="6" s="1"/>
  <c r="J9" i="4"/>
  <c r="J10" i="4"/>
  <c r="F10" i="6" s="1"/>
  <c r="J11" i="4"/>
  <c r="F11" i="6" s="1"/>
  <c r="J12" i="4"/>
  <c r="J13" i="4"/>
  <c r="J14" i="4"/>
  <c r="F14" i="6" s="1"/>
  <c r="J15" i="4"/>
  <c r="F15" i="6" s="1"/>
  <c r="J16" i="4"/>
  <c r="F16" i="6" s="1"/>
  <c r="J17" i="4"/>
  <c r="J18" i="4"/>
  <c r="F18" i="6" s="1"/>
  <c r="J19" i="4"/>
  <c r="F19" i="6" s="1"/>
  <c r="J20" i="4"/>
  <c r="J21" i="4"/>
  <c r="J4" i="4"/>
  <c r="F4" i="6" s="1"/>
  <c r="D4" i="4"/>
  <c r="H114" i="24" l="1"/>
  <c r="G114" i="24"/>
  <c r="F114" i="24"/>
  <c r="E114" i="24"/>
  <c r="D114" i="24"/>
  <c r="C114" i="24"/>
  <c r="B114" i="24"/>
  <c r="H113" i="24"/>
  <c r="G113" i="24"/>
  <c r="F113" i="24"/>
  <c r="E113" i="24"/>
  <c r="D113" i="24"/>
  <c r="C113" i="24"/>
  <c r="B113" i="24"/>
  <c r="H112" i="24"/>
  <c r="G112" i="24"/>
  <c r="F112" i="24"/>
  <c r="E112" i="24"/>
  <c r="D112" i="24"/>
  <c r="C112" i="24"/>
  <c r="B112" i="24"/>
  <c r="H111" i="24"/>
  <c r="G111" i="24"/>
  <c r="F111" i="24"/>
  <c r="E111" i="24"/>
  <c r="D111" i="24"/>
  <c r="C111" i="24"/>
  <c r="B111" i="24"/>
  <c r="H113" i="23"/>
  <c r="G113" i="23"/>
  <c r="F113" i="23"/>
  <c r="E113" i="23"/>
  <c r="D113" i="23"/>
  <c r="C113" i="23"/>
  <c r="B113" i="23"/>
  <c r="H112" i="23"/>
  <c r="G112" i="23"/>
  <c r="F112" i="23"/>
  <c r="E112" i="23"/>
  <c r="D112" i="23"/>
  <c r="C112" i="23"/>
  <c r="B112" i="23"/>
  <c r="H111" i="23"/>
  <c r="G111" i="23"/>
  <c r="F111" i="23"/>
  <c r="E111" i="23"/>
  <c r="D111" i="23"/>
  <c r="C111" i="23"/>
  <c r="B111" i="23"/>
  <c r="H110" i="23"/>
  <c r="G110" i="23"/>
  <c r="F110" i="23"/>
  <c r="E110" i="23"/>
  <c r="D110" i="23"/>
  <c r="C110" i="23"/>
  <c r="B110" i="23"/>
  <c r="H114" i="22"/>
  <c r="G114" i="22"/>
  <c r="F114" i="22"/>
  <c r="E114" i="22"/>
  <c r="D114" i="22"/>
  <c r="C114" i="22"/>
  <c r="B114" i="22"/>
  <c r="H113" i="22"/>
  <c r="G113" i="22"/>
  <c r="F113" i="22"/>
  <c r="E113" i="22"/>
  <c r="D113" i="22"/>
  <c r="C113" i="22"/>
  <c r="B113" i="22"/>
  <c r="H112" i="22"/>
  <c r="G112" i="22"/>
  <c r="F112" i="22"/>
  <c r="E112" i="22"/>
  <c r="D112" i="22"/>
  <c r="C112" i="22"/>
  <c r="B112" i="22"/>
  <c r="H111" i="22"/>
  <c r="G111" i="22"/>
  <c r="F111" i="22"/>
  <c r="E111" i="22"/>
  <c r="D111" i="22"/>
  <c r="C111" i="22"/>
  <c r="B111" i="22"/>
  <c r="H114" i="21"/>
  <c r="H113" i="21"/>
  <c r="G114" i="21"/>
  <c r="G113" i="21"/>
  <c r="F114" i="21"/>
  <c r="F113" i="21"/>
  <c r="E114" i="21"/>
  <c r="E113" i="21"/>
  <c r="D114" i="21"/>
  <c r="D113" i="21"/>
  <c r="C114" i="21"/>
  <c r="C113" i="21"/>
  <c r="B114" i="21"/>
  <c r="B113" i="21"/>
  <c r="H112" i="21"/>
  <c r="G112" i="21"/>
  <c r="F112" i="21"/>
  <c r="E112" i="21"/>
  <c r="D112" i="21"/>
  <c r="C112" i="21"/>
  <c r="B112" i="21"/>
  <c r="H111" i="21"/>
  <c r="G111" i="21"/>
  <c r="F111" i="21"/>
  <c r="E111" i="21"/>
  <c r="D111" i="21"/>
  <c r="C111" i="21"/>
  <c r="B111" i="21"/>
  <c r="W38" i="1" l="1"/>
  <c r="V38" i="1"/>
  <c r="T38" i="1"/>
  <c r="W37" i="1"/>
  <c r="V37" i="1"/>
  <c r="T37" i="1"/>
  <c r="W36" i="1"/>
  <c r="V36" i="1"/>
  <c r="T36" i="1"/>
  <c r="W35" i="1"/>
  <c r="V35" i="1"/>
  <c r="T35" i="1"/>
  <c r="W34" i="1"/>
  <c r="V34" i="1"/>
  <c r="T34" i="1"/>
  <c r="W33" i="1"/>
  <c r="V33" i="1"/>
  <c r="T33" i="1"/>
  <c r="W32" i="1"/>
  <c r="V32" i="1"/>
  <c r="T32" i="1"/>
  <c r="W31" i="1"/>
  <c r="V31" i="1"/>
  <c r="T31" i="1"/>
  <c r="W30" i="1"/>
  <c r="V30" i="1"/>
  <c r="T30" i="1"/>
  <c r="W29" i="1"/>
  <c r="V29" i="1"/>
  <c r="T29" i="1"/>
  <c r="W28" i="1"/>
  <c r="V28" i="1"/>
  <c r="T28" i="1"/>
  <c r="W27" i="1"/>
  <c r="V27" i="1"/>
  <c r="T27" i="1"/>
  <c r="W26" i="1"/>
  <c r="V26" i="1"/>
  <c r="T26" i="1"/>
  <c r="W25" i="1"/>
  <c r="V25" i="1"/>
  <c r="T25" i="1"/>
  <c r="W24" i="1"/>
  <c r="V24" i="1"/>
  <c r="T24" i="1"/>
  <c r="W23" i="1"/>
  <c r="V23" i="1"/>
  <c r="T23" i="1"/>
  <c r="W22" i="1"/>
  <c r="V22" i="1"/>
  <c r="T22" i="1"/>
  <c r="W21" i="1"/>
  <c r="V21" i="1"/>
  <c r="T21" i="1"/>
  <c r="W20" i="1"/>
  <c r="V20" i="1"/>
  <c r="T20" i="1"/>
  <c r="W19" i="1"/>
  <c r="V19" i="1"/>
  <c r="T19" i="1"/>
  <c r="W18" i="1"/>
  <c r="V18" i="1"/>
  <c r="T18" i="1"/>
  <c r="W17" i="1"/>
  <c r="V17" i="1"/>
  <c r="T17" i="1"/>
  <c r="W16" i="1"/>
  <c r="V16" i="1"/>
  <c r="T16" i="1"/>
  <c r="W15" i="1"/>
  <c r="V15" i="1"/>
  <c r="T15" i="1"/>
  <c r="W14" i="1"/>
  <c r="V14" i="1"/>
  <c r="T14" i="1"/>
  <c r="W13" i="1"/>
  <c r="V13" i="1"/>
  <c r="T13" i="1"/>
  <c r="W12" i="1"/>
  <c r="V12" i="1"/>
  <c r="T12" i="1"/>
  <c r="W11" i="1"/>
  <c r="V11" i="1"/>
  <c r="T11" i="1"/>
  <c r="W10" i="1"/>
  <c r="V10" i="1"/>
  <c r="T10" i="1"/>
  <c r="W9" i="1"/>
  <c r="V9" i="1"/>
  <c r="T9" i="1"/>
  <c r="W8" i="1"/>
  <c r="V8" i="1"/>
  <c r="T8" i="1"/>
  <c r="W7" i="1"/>
  <c r="V7" i="1"/>
  <c r="T7" i="1"/>
  <c r="W6" i="1"/>
  <c r="V6" i="1"/>
  <c r="T6" i="1"/>
  <c r="W5" i="1"/>
  <c r="V5" i="1"/>
  <c r="T5" i="1"/>
  <c r="W4" i="1"/>
  <c r="V4" i="1"/>
  <c r="T4" i="1"/>
  <c r="W38" i="4"/>
  <c r="V38" i="4"/>
  <c r="T38" i="4"/>
  <c r="W37" i="4"/>
  <c r="V37" i="4"/>
  <c r="T37" i="4"/>
  <c r="W36" i="4"/>
  <c r="V36" i="4"/>
  <c r="T36" i="4"/>
  <c r="W35" i="4"/>
  <c r="V35" i="4"/>
  <c r="T35" i="4"/>
  <c r="W34" i="4"/>
  <c r="V34" i="4"/>
  <c r="T34" i="4"/>
  <c r="W33" i="4"/>
  <c r="V33" i="4"/>
  <c r="T33" i="4"/>
  <c r="W32" i="4"/>
  <c r="V32" i="4"/>
  <c r="T32" i="4"/>
  <c r="W31" i="4"/>
  <c r="V31" i="4"/>
  <c r="T31" i="4"/>
  <c r="W30" i="4"/>
  <c r="V30" i="4"/>
  <c r="T30" i="4"/>
  <c r="W29" i="4"/>
  <c r="V29" i="4"/>
  <c r="T29" i="4"/>
  <c r="W28" i="4"/>
  <c r="V28" i="4"/>
  <c r="T28" i="4"/>
  <c r="W27" i="4"/>
  <c r="V27" i="4"/>
  <c r="T27" i="4"/>
  <c r="W26" i="4"/>
  <c r="V26" i="4"/>
  <c r="T26" i="4"/>
  <c r="W25" i="4"/>
  <c r="V25" i="4"/>
  <c r="X25" i="4" s="1"/>
  <c r="T25" i="4"/>
  <c r="W24" i="4"/>
  <c r="V24" i="4"/>
  <c r="T24" i="4"/>
  <c r="W23" i="4"/>
  <c r="V23" i="4"/>
  <c r="T23" i="4"/>
  <c r="W22" i="4"/>
  <c r="V22" i="4"/>
  <c r="T22" i="4"/>
  <c r="W21" i="4"/>
  <c r="V21" i="4"/>
  <c r="T21" i="4"/>
  <c r="W20" i="4"/>
  <c r="V20" i="4"/>
  <c r="T20" i="4"/>
  <c r="W19" i="4"/>
  <c r="V19" i="4"/>
  <c r="T19" i="4"/>
  <c r="W18" i="4"/>
  <c r="V18" i="4"/>
  <c r="T18" i="4"/>
  <c r="W17" i="4"/>
  <c r="V17" i="4"/>
  <c r="T17" i="4"/>
  <c r="W16" i="4"/>
  <c r="V16" i="4"/>
  <c r="T16" i="4"/>
  <c r="W15" i="4"/>
  <c r="V15" i="4"/>
  <c r="T15" i="4"/>
  <c r="W14" i="4"/>
  <c r="V14" i="4"/>
  <c r="T14" i="4"/>
  <c r="W13" i="4"/>
  <c r="V13" i="4"/>
  <c r="T13" i="4"/>
  <c r="W12" i="4"/>
  <c r="V12" i="4"/>
  <c r="T12" i="4"/>
  <c r="W11" i="4"/>
  <c r="V11" i="4"/>
  <c r="T11" i="4"/>
  <c r="W10" i="4"/>
  <c r="V10" i="4"/>
  <c r="T10" i="4"/>
  <c r="W9" i="4"/>
  <c r="V9" i="4"/>
  <c r="T9" i="4"/>
  <c r="W8" i="4"/>
  <c r="V8" i="4"/>
  <c r="T8" i="4"/>
  <c r="W7" i="4"/>
  <c r="V7" i="4"/>
  <c r="T7" i="4"/>
  <c r="W6" i="4"/>
  <c r="V6" i="4"/>
  <c r="T6" i="4"/>
  <c r="W5" i="4"/>
  <c r="V5" i="4"/>
  <c r="T5" i="4"/>
  <c r="W4" i="4"/>
  <c r="V4" i="4"/>
  <c r="T4" i="4"/>
  <c r="G4" i="19"/>
  <c r="G5" i="19"/>
  <c r="G3" i="19"/>
  <c r="O33" i="19"/>
  <c r="O32" i="19"/>
  <c r="O31" i="19"/>
  <c r="O30" i="19"/>
  <c r="O29" i="19"/>
  <c r="O28" i="19"/>
  <c r="O27" i="19"/>
  <c r="O26" i="19"/>
  <c r="X14" i="4" l="1"/>
  <c r="M14" i="6"/>
  <c r="X22" i="4"/>
  <c r="M22" i="6"/>
  <c r="X38" i="4"/>
  <c r="M38" i="6"/>
  <c r="X11" i="1"/>
  <c r="M11" i="5"/>
  <c r="X27" i="1"/>
  <c r="M27" i="5"/>
  <c r="X9" i="4"/>
  <c r="M9" i="6"/>
  <c r="X6" i="1"/>
  <c r="M6" i="5"/>
  <c r="X14" i="1"/>
  <c r="M14" i="5"/>
  <c r="X30" i="1"/>
  <c r="M30" i="5"/>
  <c r="X38" i="1"/>
  <c r="M38" i="5"/>
  <c r="X12" i="4"/>
  <c r="M12" i="6"/>
  <c r="X31" i="4"/>
  <c r="M31" i="6"/>
  <c r="X4" i="1"/>
  <c r="X40" i="1" s="1"/>
  <c r="M4" i="5"/>
  <c r="X12" i="1"/>
  <c r="M12" i="5"/>
  <c r="X10" i="4"/>
  <c r="M10" i="6"/>
  <c r="X18" i="4"/>
  <c r="M18" i="6"/>
  <c r="X26" i="4"/>
  <c r="M26" i="6"/>
  <c r="X34" i="4"/>
  <c r="M34" i="6"/>
  <c r="X7" i="1"/>
  <c r="M7" i="5"/>
  <c r="X15" i="1"/>
  <c r="M15" i="5"/>
  <c r="X31" i="1"/>
  <c r="M31" i="5"/>
  <c r="X13" i="4"/>
  <c r="M13" i="6"/>
  <c r="X21" i="4"/>
  <c r="M21" i="6"/>
  <c r="X29" i="4"/>
  <c r="M29" i="6"/>
  <c r="X10" i="1"/>
  <c r="M10" i="5"/>
  <c r="X18" i="1"/>
  <c r="M18" i="5"/>
  <c r="X26" i="1"/>
  <c r="M26" i="5"/>
  <c r="X34" i="1"/>
  <c r="M34" i="5"/>
  <c r="X8" i="4"/>
  <c r="M8" i="6"/>
  <c r="X16" i="4"/>
  <c r="M16" i="6"/>
  <c r="X24" i="4"/>
  <c r="M24" i="6"/>
  <c r="X32" i="4"/>
  <c r="M32" i="6"/>
  <c r="X5" i="1"/>
  <c r="M5" i="5"/>
  <c r="X13" i="1"/>
  <c r="M13" i="5"/>
  <c r="X21" i="1"/>
  <c r="M21" i="5"/>
  <c r="X29" i="1"/>
  <c r="M29" i="5"/>
  <c r="X37" i="1"/>
  <c r="M37" i="5"/>
  <c r="X30" i="4"/>
  <c r="M30" i="6"/>
  <c r="X22" i="1"/>
  <c r="M22" i="5"/>
  <c r="W40" i="4"/>
  <c r="X7" i="4"/>
  <c r="X41" i="4" s="1"/>
  <c r="M7" i="6"/>
  <c r="X15" i="4"/>
  <c r="M15" i="6"/>
  <c r="X23" i="4"/>
  <c r="M23" i="6"/>
  <c r="X20" i="1"/>
  <c r="M20" i="5"/>
  <c r="X28" i="1"/>
  <c r="M28" i="5"/>
  <c r="X36" i="1"/>
  <c r="M36" i="5"/>
  <c r="W40" i="1"/>
  <c r="X23" i="1"/>
  <c r="M23" i="5"/>
  <c r="X5" i="4"/>
  <c r="M5" i="6"/>
  <c r="X37" i="4"/>
  <c r="M37" i="6"/>
  <c r="X11" i="4"/>
  <c r="M11" i="6"/>
  <c r="X19" i="4"/>
  <c r="M19" i="6"/>
  <c r="X27" i="4"/>
  <c r="M27" i="6"/>
  <c r="X35" i="4"/>
  <c r="M35" i="6"/>
  <c r="X8" i="1"/>
  <c r="M8" i="5"/>
  <c r="X16" i="1"/>
  <c r="M16" i="5"/>
  <c r="X24" i="1"/>
  <c r="M24" i="5"/>
  <c r="X32" i="1"/>
  <c r="M32" i="5"/>
  <c r="X6" i="4"/>
  <c r="M6" i="6"/>
  <c r="X19" i="1"/>
  <c r="M19" i="5"/>
  <c r="X35" i="1"/>
  <c r="M35" i="5"/>
  <c r="X17" i="4"/>
  <c r="M17" i="6"/>
  <c r="X33" i="4"/>
  <c r="M33" i="6"/>
  <c r="X4" i="4"/>
  <c r="M4" i="6"/>
  <c r="X20" i="4"/>
  <c r="M20" i="6"/>
  <c r="X28" i="4"/>
  <c r="M28" i="6"/>
  <c r="X36" i="4"/>
  <c r="M36" i="6"/>
  <c r="T40" i="1"/>
  <c r="X9" i="1"/>
  <c r="X41" i="1" s="1"/>
  <c r="M9" i="5"/>
  <c r="X17" i="1"/>
  <c r="M17" i="5"/>
  <c r="X25" i="1"/>
  <c r="M25" i="5"/>
  <c r="X33" i="1"/>
  <c r="M33" i="5"/>
  <c r="T40" i="4"/>
  <c r="X40" i="4"/>
  <c r="T41" i="4"/>
  <c r="T41" i="1"/>
  <c r="W41" i="1"/>
  <c r="W41" i="4"/>
  <c r="G31" i="18"/>
  <c r="G32" i="18"/>
  <c r="G30" i="18"/>
  <c r="G31" i="17"/>
  <c r="G32" i="17"/>
  <c r="G30" i="17"/>
  <c r="G22" i="18"/>
  <c r="G21" i="18"/>
  <c r="G20" i="18"/>
  <c r="G21" i="17"/>
  <c r="G22" i="17"/>
  <c r="G20" i="17"/>
  <c r="G26" i="18"/>
  <c r="G27" i="18"/>
  <c r="G25" i="18"/>
  <c r="G26" i="17"/>
  <c r="G27" i="17"/>
  <c r="G25" i="17"/>
  <c r="G9" i="18"/>
  <c r="G10" i="18"/>
  <c r="G11" i="18"/>
  <c r="G12" i="18"/>
  <c r="G8" i="18"/>
  <c r="N10" i="19"/>
  <c r="O10" i="19" s="1"/>
  <c r="N5" i="19"/>
  <c r="O5" i="19" s="1"/>
  <c r="O19" i="19"/>
  <c r="O7" i="19"/>
  <c r="O8" i="19"/>
  <c r="O9" i="19"/>
  <c r="O11" i="19"/>
  <c r="O12" i="19"/>
  <c r="O13" i="19"/>
  <c r="O14" i="19"/>
  <c r="O16" i="19"/>
  <c r="O17" i="19"/>
  <c r="O18" i="19"/>
  <c r="E86" i="22" l="1"/>
  <c r="G9" i="17" l="1"/>
  <c r="G17" i="18"/>
  <c r="G16" i="18"/>
  <c r="G15" i="18"/>
  <c r="G15" i="17"/>
  <c r="G17" i="17"/>
  <c r="G16" i="17"/>
  <c r="G34" i="7"/>
  <c r="G33" i="7"/>
  <c r="G32" i="7"/>
  <c r="G23" i="7"/>
  <c r="G24" i="7"/>
  <c r="G22" i="7"/>
  <c r="V16" i="7"/>
  <c r="P16" i="18"/>
  <c r="G5" i="18"/>
  <c r="U16" i="17"/>
  <c r="G10" i="17" s="1"/>
  <c r="O6" i="17"/>
  <c r="O7" i="17"/>
  <c r="O8" i="17"/>
  <c r="O9" i="17"/>
  <c r="O11" i="17"/>
  <c r="O12" i="17"/>
  <c r="O13" i="17"/>
  <c r="O14" i="17"/>
  <c r="O15" i="17"/>
  <c r="O16" i="17"/>
  <c r="O17" i="17"/>
  <c r="O18" i="17"/>
  <c r="O19" i="17"/>
  <c r="O5" i="17"/>
  <c r="G4" i="18"/>
  <c r="G3" i="18"/>
  <c r="O5" i="7"/>
  <c r="O6" i="7"/>
  <c r="O7" i="7"/>
  <c r="O8" i="7"/>
  <c r="O9" i="7"/>
  <c r="O12" i="7"/>
  <c r="O13" i="7"/>
  <c r="O14" i="7"/>
  <c r="O17" i="7"/>
  <c r="O18" i="7"/>
  <c r="O19" i="7"/>
  <c r="G3" i="7"/>
  <c r="G8" i="17" l="1"/>
  <c r="G12" i="17"/>
  <c r="G11" i="17"/>
  <c r="L38" i="6"/>
  <c r="N38" i="6" s="1"/>
  <c r="L37" i="6"/>
  <c r="N37" i="6" s="1"/>
  <c r="L36" i="6"/>
  <c r="N36" i="6" s="1"/>
  <c r="L35" i="6"/>
  <c r="N35" i="6" s="1"/>
  <c r="L34" i="6"/>
  <c r="N34" i="6" s="1"/>
  <c r="L33" i="6"/>
  <c r="N33" i="6" s="1"/>
  <c r="L32" i="6"/>
  <c r="N32" i="6" s="1"/>
  <c r="L31" i="6"/>
  <c r="N31" i="6" s="1"/>
  <c r="L30" i="6"/>
  <c r="N30" i="6" s="1"/>
  <c r="L29" i="6"/>
  <c r="N29" i="6" s="1"/>
  <c r="L28" i="6"/>
  <c r="N28" i="6" s="1"/>
  <c r="L27" i="6"/>
  <c r="N27" i="6" s="1"/>
  <c r="L26" i="6"/>
  <c r="N26" i="6" s="1"/>
  <c r="L25" i="6"/>
  <c r="N25" i="6" s="1"/>
  <c r="L24" i="6"/>
  <c r="N24" i="6" s="1"/>
  <c r="L23" i="6"/>
  <c r="N23" i="6" s="1"/>
  <c r="L22" i="6"/>
  <c r="N22" i="6" s="1"/>
  <c r="L21" i="6"/>
  <c r="N21" i="6" s="1"/>
  <c r="L20" i="6"/>
  <c r="N20" i="6" s="1"/>
  <c r="L19" i="6"/>
  <c r="N19" i="6" s="1"/>
  <c r="L18" i="6"/>
  <c r="N18" i="6" s="1"/>
  <c r="L17" i="6"/>
  <c r="N17" i="6" s="1"/>
  <c r="L16" i="6"/>
  <c r="N16" i="6" s="1"/>
  <c r="L15" i="6"/>
  <c r="N15" i="6" s="1"/>
  <c r="L14" i="6"/>
  <c r="N14" i="6" s="1"/>
  <c r="L13" i="6"/>
  <c r="N13" i="6" s="1"/>
  <c r="L12" i="6"/>
  <c r="N12" i="6" s="1"/>
  <c r="L11" i="6"/>
  <c r="N11" i="6" s="1"/>
  <c r="L10" i="6"/>
  <c r="N10" i="6" s="1"/>
  <c r="L9" i="6"/>
  <c r="N9" i="6" s="1"/>
  <c r="L8" i="6"/>
  <c r="N8" i="6" s="1"/>
  <c r="L7" i="6"/>
  <c r="N7" i="6" s="1"/>
  <c r="L6" i="6"/>
  <c r="N6" i="6" s="1"/>
  <c r="L5" i="6"/>
  <c r="N5" i="6" s="1"/>
  <c r="L4" i="6"/>
  <c r="N4" i="6" s="1"/>
  <c r="E4" i="6"/>
  <c r="G4" i="6" s="1"/>
  <c r="E5" i="6"/>
  <c r="G5" i="6" s="1"/>
  <c r="E6" i="6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L38" i="5"/>
  <c r="N38" i="5" s="1"/>
  <c r="L37" i="5"/>
  <c r="N37" i="5" s="1"/>
  <c r="L36" i="5"/>
  <c r="N36" i="5" s="1"/>
  <c r="L35" i="5"/>
  <c r="N35" i="5" s="1"/>
  <c r="L34" i="5"/>
  <c r="N34" i="5" s="1"/>
  <c r="L33" i="5"/>
  <c r="N33" i="5" s="1"/>
  <c r="L32" i="5"/>
  <c r="N32" i="5" s="1"/>
  <c r="L31" i="5"/>
  <c r="N31" i="5" s="1"/>
  <c r="L30" i="5"/>
  <c r="N30" i="5" s="1"/>
  <c r="L29" i="5"/>
  <c r="N29" i="5" s="1"/>
  <c r="L28" i="5"/>
  <c r="N28" i="5" s="1"/>
  <c r="L27" i="5"/>
  <c r="N27" i="5" s="1"/>
  <c r="L26" i="5"/>
  <c r="N26" i="5" s="1"/>
  <c r="L25" i="5"/>
  <c r="N25" i="5" s="1"/>
  <c r="L24" i="5"/>
  <c r="N24" i="5" s="1"/>
  <c r="L23" i="5"/>
  <c r="N23" i="5" s="1"/>
  <c r="L22" i="5"/>
  <c r="N22" i="5" s="1"/>
  <c r="L21" i="5"/>
  <c r="N21" i="5" s="1"/>
  <c r="L20" i="5"/>
  <c r="N20" i="5" s="1"/>
  <c r="L19" i="5"/>
  <c r="N19" i="5" s="1"/>
  <c r="L18" i="5"/>
  <c r="N18" i="5" s="1"/>
  <c r="L17" i="5"/>
  <c r="N17" i="5" s="1"/>
  <c r="L16" i="5"/>
  <c r="N16" i="5" s="1"/>
  <c r="L15" i="5"/>
  <c r="N15" i="5" s="1"/>
  <c r="L14" i="5"/>
  <c r="N14" i="5" s="1"/>
  <c r="L13" i="5"/>
  <c r="N13" i="5" s="1"/>
  <c r="L12" i="5"/>
  <c r="N12" i="5" s="1"/>
  <c r="L11" i="5"/>
  <c r="N11" i="5" s="1"/>
  <c r="L10" i="5"/>
  <c r="N10" i="5" s="1"/>
  <c r="L9" i="5"/>
  <c r="N9" i="5" s="1"/>
  <c r="L8" i="5"/>
  <c r="N8" i="5" s="1"/>
  <c r="L7" i="5"/>
  <c r="N7" i="5" s="1"/>
  <c r="L6" i="5"/>
  <c r="N6" i="5" s="1"/>
  <c r="L5" i="5"/>
  <c r="N5" i="5" s="1"/>
  <c r="L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G17" i="5" s="1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4" i="5"/>
  <c r="G23" i="6" l="1"/>
  <c r="G24" i="6"/>
  <c r="G25" i="6"/>
  <c r="N40" i="6"/>
  <c r="N42" i="6"/>
  <c r="N41" i="6"/>
  <c r="L42" i="5"/>
  <c r="N4" i="5"/>
  <c r="E40" i="5"/>
  <c r="E41" i="5"/>
  <c r="E42" i="5"/>
  <c r="E24" i="6"/>
  <c r="E25" i="6"/>
  <c r="E23" i="6"/>
  <c r="L41" i="6"/>
  <c r="L42" i="6"/>
  <c r="L40" i="6"/>
  <c r="L40" i="5"/>
  <c r="L41" i="5"/>
  <c r="N42" i="5" l="1"/>
  <c r="N41" i="5"/>
  <c r="N40" i="5"/>
  <c r="G4" i="17"/>
  <c r="G3" i="17" l="1"/>
  <c r="G5" i="17"/>
  <c r="G28" i="7"/>
  <c r="G29" i="7"/>
  <c r="G27" i="7"/>
  <c r="G18" i="7"/>
  <c r="G19" i="7"/>
  <c r="G17" i="7"/>
  <c r="G7" i="7"/>
  <c r="G11" i="7"/>
  <c r="G12" i="7"/>
  <c r="G13" i="7"/>
  <c r="G14" i="7"/>
  <c r="G10" i="7"/>
  <c r="G4" i="7"/>
  <c r="G5" i="7"/>
  <c r="G6" i="7"/>
  <c r="C46" i="1" l="1"/>
  <c r="C45" i="1"/>
  <c r="O44" i="4"/>
  <c r="O46" i="4" s="1"/>
  <c r="N44" i="4"/>
  <c r="N46" i="4" s="1"/>
  <c r="O45" i="4"/>
  <c r="N45" i="4"/>
  <c r="C29" i="4"/>
  <c r="C28" i="4"/>
  <c r="C30" i="4" s="1"/>
  <c r="O45" i="1"/>
  <c r="N45" i="1"/>
  <c r="O44" i="1"/>
  <c r="O46" i="1" s="1"/>
  <c r="N44" i="1"/>
  <c r="N46" i="1" s="1"/>
  <c r="C44" i="1"/>
  <c r="B45" i="1"/>
  <c r="B44" i="1"/>
  <c r="B46" i="1"/>
  <c r="H106" i="24"/>
  <c r="G106" i="24"/>
  <c r="F106" i="24"/>
  <c r="E106" i="24"/>
  <c r="D106" i="24"/>
  <c r="C106" i="24"/>
  <c r="B106" i="24"/>
  <c r="H105" i="24"/>
  <c r="G105" i="24"/>
  <c r="F105" i="24"/>
  <c r="E105" i="24"/>
  <c r="D105" i="24"/>
  <c r="C105" i="24"/>
  <c r="B105" i="24"/>
  <c r="H104" i="24"/>
  <c r="G104" i="24"/>
  <c r="F104" i="24"/>
  <c r="E104" i="24"/>
  <c r="D104" i="24"/>
  <c r="C104" i="24"/>
  <c r="B104" i="24"/>
  <c r="H103" i="24"/>
  <c r="G103" i="24"/>
  <c r="F103" i="24"/>
  <c r="E103" i="24"/>
  <c r="D103" i="24"/>
  <c r="C103" i="24"/>
  <c r="B103" i="24"/>
  <c r="H88" i="24"/>
  <c r="G88" i="24"/>
  <c r="F88" i="24"/>
  <c r="E88" i="24"/>
  <c r="D88" i="24"/>
  <c r="C88" i="24"/>
  <c r="B88" i="24"/>
  <c r="H87" i="24"/>
  <c r="G87" i="24"/>
  <c r="F87" i="24"/>
  <c r="E87" i="24"/>
  <c r="D87" i="24"/>
  <c r="C87" i="24"/>
  <c r="B87" i="24"/>
  <c r="H86" i="24"/>
  <c r="G86" i="24"/>
  <c r="F86" i="24"/>
  <c r="E86" i="24"/>
  <c r="D86" i="24"/>
  <c r="C86" i="24"/>
  <c r="B86" i="24"/>
  <c r="H85" i="24"/>
  <c r="G85" i="24"/>
  <c r="F85" i="24"/>
  <c r="E85" i="24"/>
  <c r="D85" i="24"/>
  <c r="C85" i="24"/>
  <c r="B85" i="24"/>
  <c r="H70" i="24"/>
  <c r="G70" i="24"/>
  <c r="F70" i="24"/>
  <c r="E70" i="24"/>
  <c r="D70" i="24"/>
  <c r="C70" i="24"/>
  <c r="B70" i="24"/>
  <c r="H69" i="24"/>
  <c r="G69" i="24"/>
  <c r="F69" i="24"/>
  <c r="E69" i="24"/>
  <c r="D69" i="24"/>
  <c r="C69" i="24"/>
  <c r="B69" i="24"/>
  <c r="H68" i="24"/>
  <c r="G68" i="24"/>
  <c r="F68" i="24"/>
  <c r="E68" i="24"/>
  <c r="D68" i="24"/>
  <c r="C68" i="24"/>
  <c r="B68" i="24"/>
  <c r="H67" i="24"/>
  <c r="G67" i="24"/>
  <c r="F67" i="24"/>
  <c r="E67" i="24"/>
  <c r="D67" i="24"/>
  <c r="C67" i="24"/>
  <c r="B67" i="24"/>
  <c r="H10" i="24"/>
  <c r="G10" i="24"/>
  <c r="F10" i="24"/>
  <c r="E10" i="24"/>
  <c r="D10" i="24"/>
  <c r="C10" i="24"/>
  <c r="B10" i="24"/>
  <c r="H9" i="24"/>
  <c r="G9" i="24"/>
  <c r="F9" i="24"/>
  <c r="E9" i="24"/>
  <c r="D9" i="24"/>
  <c r="C9" i="24"/>
  <c r="B9" i="24"/>
  <c r="H8" i="24"/>
  <c r="G8" i="24"/>
  <c r="F8" i="24"/>
  <c r="E8" i="24"/>
  <c r="D8" i="24"/>
  <c r="C8" i="24"/>
  <c r="B8" i="24"/>
  <c r="H7" i="24"/>
  <c r="G7" i="24"/>
  <c r="F7" i="24"/>
  <c r="E7" i="24"/>
  <c r="D7" i="24"/>
  <c r="C7" i="24"/>
  <c r="B7" i="24"/>
  <c r="H105" i="23"/>
  <c r="G105" i="23"/>
  <c r="F105" i="23"/>
  <c r="E105" i="23"/>
  <c r="D105" i="23"/>
  <c r="C105" i="23"/>
  <c r="B105" i="23"/>
  <c r="H104" i="23"/>
  <c r="G104" i="23"/>
  <c r="F104" i="23"/>
  <c r="E104" i="23"/>
  <c r="D104" i="23"/>
  <c r="C104" i="23"/>
  <c r="B104" i="23"/>
  <c r="H103" i="23"/>
  <c r="G103" i="23"/>
  <c r="F103" i="23"/>
  <c r="E103" i="23"/>
  <c r="D103" i="23"/>
  <c r="C103" i="23"/>
  <c r="B103" i="23"/>
  <c r="H102" i="23"/>
  <c r="G102" i="23"/>
  <c r="F102" i="23"/>
  <c r="E102" i="23"/>
  <c r="D102" i="23"/>
  <c r="C102" i="23"/>
  <c r="B102" i="23"/>
  <c r="H87" i="23"/>
  <c r="G87" i="23"/>
  <c r="F87" i="23"/>
  <c r="E87" i="23"/>
  <c r="D87" i="23"/>
  <c r="C87" i="23"/>
  <c r="B87" i="23"/>
  <c r="H86" i="23"/>
  <c r="G86" i="23"/>
  <c r="F86" i="23"/>
  <c r="E86" i="23"/>
  <c r="D86" i="23"/>
  <c r="C86" i="23"/>
  <c r="B86" i="23"/>
  <c r="H85" i="23"/>
  <c r="G85" i="23"/>
  <c r="F85" i="23"/>
  <c r="E85" i="23"/>
  <c r="D85" i="23"/>
  <c r="C85" i="23"/>
  <c r="B85" i="23"/>
  <c r="H84" i="23"/>
  <c r="G84" i="23"/>
  <c r="F84" i="23"/>
  <c r="E84" i="23"/>
  <c r="D84" i="23"/>
  <c r="C84" i="23"/>
  <c r="B84" i="23"/>
  <c r="H70" i="23"/>
  <c r="G70" i="23"/>
  <c r="F70" i="23"/>
  <c r="E70" i="23"/>
  <c r="D70" i="23"/>
  <c r="C70" i="23"/>
  <c r="B70" i="23"/>
  <c r="H69" i="23"/>
  <c r="G69" i="23"/>
  <c r="F69" i="23"/>
  <c r="E69" i="23"/>
  <c r="D69" i="23"/>
  <c r="C69" i="23"/>
  <c r="B69" i="23"/>
  <c r="H68" i="23"/>
  <c r="G68" i="23"/>
  <c r="F68" i="23"/>
  <c r="E68" i="23"/>
  <c r="D68" i="23"/>
  <c r="C68" i="23"/>
  <c r="B68" i="23"/>
  <c r="H67" i="23"/>
  <c r="G67" i="23"/>
  <c r="F67" i="23"/>
  <c r="E67" i="23"/>
  <c r="D67" i="23"/>
  <c r="C67" i="23"/>
  <c r="B67" i="23"/>
  <c r="F10" i="23"/>
  <c r="E10" i="23"/>
  <c r="D10" i="23"/>
  <c r="C10" i="23"/>
  <c r="B10" i="23"/>
  <c r="F9" i="23"/>
  <c r="E9" i="23"/>
  <c r="D9" i="23"/>
  <c r="C9" i="23"/>
  <c r="B9" i="23"/>
  <c r="F8" i="23"/>
  <c r="E8" i="23"/>
  <c r="D8" i="23"/>
  <c r="C8" i="23"/>
  <c r="B8" i="23"/>
  <c r="F7" i="23"/>
  <c r="E7" i="23"/>
  <c r="D7" i="23"/>
  <c r="C7" i="23"/>
  <c r="B7" i="23"/>
  <c r="H10" i="22"/>
  <c r="H9" i="22"/>
  <c r="H8" i="22"/>
  <c r="H7" i="22"/>
  <c r="G10" i="22"/>
  <c r="G9" i="22"/>
  <c r="G8" i="22"/>
  <c r="G7" i="22"/>
  <c r="H106" i="22"/>
  <c r="G106" i="22"/>
  <c r="F106" i="22"/>
  <c r="E106" i="22"/>
  <c r="D106" i="22"/>
  <c r="C106" i="22"/>
  <c r="B106" i="22"/>
  <c r="H105" i="22"/>
  <c r="G105" i="22"/>
  <c r="F105" i="22"/>
  <c r="E105" i="22"/>
  <c r="D105" i="22"/>
  <c r="C105" i="22"/>
  <c r="B105" i="22"/>
  <c r="H104" i="22"/>
  <c r="G104" i="22"/>
  <c r="F104" i="22"/>
  <c r="E104" i="22"/>
  <c r="D104" i="22"/>
  <c r="C104" i="22"/>
  <c r="B104" i="22"/>
  <c r="H103" i="22"/>
  <c r="G103" i="22"/>
  <c r="F103" i="22"/>
  <c r="E103" i="22"/>
  <c r="D103" i="22"/>
  <c r="C103" i="22"/>
  <c r="B103" i="22"/>
  <c r="H88" i="22"/>
  <c r="G88" i="22"/>
  <c r="F88" i="22"/>
  <c r="E88" i="22"/>
  <c r="D88" i="22"/>
  <c r="C88" i="22"/>
  <c r="B88" i="22"/>
  <c r="H87" i="22"/>
  <c r="G87" i="22"/>
  <c r="F87" i="22"/>
  <c r="E87" i="22"/>
  <c r="D87" i="22"/>
  <c r="C87" i="22"/>
  <c r="B87" i="22"/>
  <c r="H86" i="22"/>
  <c r="G86" i="22"/>
  <c r="F86" i="22"/>
  <c r="D86" i="22"/>
  <c r="C86" i="22"/>
  <c r="B86" i="22"/>
  <c r="H85" i="22"/>
  <c r="G85" i="22"/>
  <c r="F85" i="22"/>
  <c r="E85" i="22"/>
  <c r="D85" i="22"/>
  <c r="C85" i="22"/>
  <c r="B85" i="22"/>
  <c r="H70" i="22"/>
  <c r="G70" i="22"/>
  <c r="F70" i="22"/>
  <c r="E70" i="22"/>
  <c r="D70" i="22"/>
  <c r="C70" i="22"/>
  <c r="B70" i="22"/>
  <c r="H69" i="22"/>
  <c r="G69" i="22"/>
  <c r="F69" i="22"/>
  <c r="E69" i="22"/>
  <c r="D69" i="22"/>
  <c r="C69" i="22"/>
  <c r="B69" i="22"/>
  <c r="H68" i="22"/>
  <c r="G68" i="22"/>
  <c r="F68" i="22"/>
  <c r="E68" i="22"/>
  <c r="D68" i="22"/>
  <c r="C68" i="22"/>
  <c r="B68" i="22"/>
  <c r="H67" i="22"/>
  <c r="G67" i="22"/>
  <c r="F67" i="22"/>
  <c r="E67" i="22"/>
  <c r="D67" i="22"/>
  <c r="C67" i="22"/>
  <c r="B67" i="22"/>
  <c r="F10" i="22"/>
  <c r="E10" i="22"/>
  <c r="D10" i="22"/>
  <c r="C10" i="22"/>
  <c r="B10" i="22"/>
  <c r="F9" i="22"/>
  <c r="E9" i="22"/>
  <c r="D9" i="22"/>
  <c r="C9" i="22"/>
  <c r="B9" i="22"/>
  <c r="F8" i="22"/>
  <c r="E8" i="22"/>
  <c r="D8" i="22"/>
  <c r="C8" i="22"/>
  <c r="B8" i="22"/>
  <c r="F7" i="22"/>
  <c r="E7" i="22"/>
  <c r="D7" i="22"/>
  <c r="C7" i="22"/>
  <c r="B7" i="22"/>
  <c r="H106" i="21"/>
  <c r="G106" i="21"/>
  <c r="F106" i="21"/>
  <c r="E106" i="21"/>
  <c r="D106" i="21"/>
  <c r="C106" i="21"/>
  <c r="B106" i="21"/>
  <c r="H105" i="21"/>
  <c r="G105" i="21"/>
  <c r="F105" i="21"/>
  <c r="E105" i="21"/>
  <c r="D105" i="21"/>
  <c r="C105" i="21"/>
  <c r="B105" i="21"/>
  <c r="H104" i="21"/>
  <c r="G104" i="21"/>
  <c r="F104" i="21"/>
  <c r="E104" i="21"/>
  <c r="D104" i="21"/>
  <c r="C104" i="21"/>
  <c r="B104" i="21"/>
  <c r="H103" i="21"/>
  <c r="G103" i="21"/>
  <c r="F103" i="21"/>
  <c r="E103" i="21"/>
  <c r="D103" i="21"/>
  <c r="C103" i="21"/>
  <c r="B103" i="21"/>
  <c r="H88" i="21"/>
  <c r="H87" i="21"/>
  <c r="H86" i="21"/>
  <c r="H85" i="21"/>
  <c r="G88" i="21"/>
  <c r="G87" i="21"/>
  <c r="G86" i="21"/>
  <c r="G85" i="21"/>
  <c r="F88" i="21"/>
  <c r="F87" i="21"/>
  <c r="F86" i="21"/>
  <c r="F85" i="21"/>
  <c r="E88" i="21"/>
  <c r="E87" i="21"/>
  <c r="E86" i="21"/>
  <c r="E85" i="21"/>
  <c r="D88" i="21"/>
  <c r="D87" i="21"/>
  <c r="D86" i="21"/>
  <c r="D85" i="21"/>
  <c r="C88" i="21"/>
  <c r="C87" i="21"/>
  <c r="C86" i="21"/>
  <c r="C85" i="21"/>
  <c r="B88" i="21"/>
  <c r="B87" i="21"/>
  <c r="B86" i="21"/>
  <c r="B85" i="21"/>
  <c r="H70" i="21"/>
  <c r="H69" i="21"/>
  <c r="H68" i="21"/>
  <c r="H67" i="21"/>
  <c r="G70" i="21"/>
  <c r="G69" i="21"/>
  <c r="G68" i="21"/>
  <c r="G67" i="21"/>
  <c r="F70" i="21"/>
  <c r="F69" i="21"/>
  <c r="F68" i="21"/>
  <c r="F67" i="21"/>
  <c r="E70" i="21"/>
  <c r="E69" i="21"/>
  <c r="E68" i="21"/>
  <c r="E67" i="21"/>
  <c r="D70" i="21"/>
  <c r="D69" i="21"/>
  <c r="D68" i="21"/>
  <c r="D67" i="21"/>
  <c r="C70" i="21"/>
  <c r="C69" i="21"/>
  <c r="C68" i="21"/>
  <c r="C67" i="21"/>
  <c r="B70" i="21"/>
  <c r="B69" i="21"/>
  <c r="B68" i="21"/>
  <c r="B67" i="21"/>
  <c r="F10" i="21"/>
  <c r="F9" i="21"/>
  <c r="F8" i="21"/>
  <c r="F7" i="21"/>
  <c r="E10" i="21"/>
  <c r="E9" i="21"/>
  <c r="E8" i="21"/>
  <c r="E7" i="21"/>
  <c r="D10" i="21"/>
  <c r="D9" i="21"/>
  <c r="D8" i="21"/>
  <c r="D7" i="21"/>
  <c r="C10" i="21"/>
  <c r="C9" i="21"/>
  <c r="C8" i="21"/>
  <c r="C7" i="21"/>
  <c r="B10" i="21"/>
  <c r="B9" i="21"/>
  <c r="B8" i="21"/>
  <c r="B7" i="21"/>
  <c r="W23" i="16"/>
  <c r="W22" i="16"/>
  <c r="W21" i="16"/>
  <c r="W20" i="16"/>
  <c r="H20" i="16"/>
  <c r="W19" i="16"/>
  <c r="H19" i="16"/>
  <c r="W18" i="16"/>
  <c r="H18" i="16"/>
  <c r="W17" i="16"/>
  <c r="W16" i="16"/>
  <c r="W15" i="16"/>
  <c r="W14" i="16"/>
  <c r="H14" i="16"/>
  <c r="W13" i="16"/>
  <c r="H13" i="16"/>
  <c r="W12" i="16"/>
  <c r="H12" i="16"/>
  <c r="W11" i="16"/>
  <c r="H11" i="16"/>
  <c r="W10" i="16"/>
  <c r="H10" i="16"/>
  <c r="W9" i="16"/>
  <c r="H9" i="16"/>
  <c r="W8" i="16"/>
  <c r="H8" i="16"/>
  <c r="W7" i="16"/>
  <c r="H7" i="16"/>
  <c r="W6" i="16"/>
  <c r="H6" i="16"/>
  <c r="W5" i="16"/>
  <c r="AD12" i="16" s="1"/>
  <c r="H5" i="16"/>
  <c r="O12" i="16" s="1"/>
  <c r="W4" i="16"/>
  <c r="H4" i="16"/>
  <c r="W3" i="16"/>
  <c r="H3" i="16"/>
  <c r="W23" i="13"/>
  <c r="W22" i="13"/>
  <c r="W21" i="13"/>
  <c r="AD17" i="13" s="1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AD12" i="13" s="1"/>
  <c r="W4" i="13"/>
  <c r="W3" i="13"/>
  <c r="H23" i="13"/>
  <c r="H24" i="13"/>
  <c r="O17" i="13" s="1"/>
  <c r="H25" i="13"/>
  <c r="H17" i="13"/>
  <c r="N15" i="13" s="1"/>
  <c r="H18" i="13"/>
  <c r="H19" i="13"/>
  <c r="H22" i="13"/>
  <c r="O16" i="13" s="1"/>
  <c r="H21" i="13"/>
  <c r="H20" i="13"/>
  <c r="N17" i="13"/>
  <c r="B33" i="7" s="1"/>
  <c r="C33" i="7" s="1"/>
  <c r="E33" i="7" s="1"/>
  <c r="H33" i="7" s="1"/>
  <c r="AC12" i="13"/>
  <c r="B3" i="17" s="1"/>
  <c r="C3" i="17" s="1"/>
  <c r="E3" i="17" s="1"/>
  <c r="H3" i="17" s="1"/>
  <c r="N16" i="13"/>
  <c r="B29" i="7" s="1"/>
  <c r="C29" i="7" s="1"/>
  <c r="E29" i="7" s="1"/>
  <c r="H29" i="7" s="1"/>
  <c r="B28" i="7"/>
  <c r="C28" i="7" s="1"/>
  <c r="E28" i="7" s="1"/>
  <c r="H28" i="7" s="1"/>
  <c r="B27" i="7"/>
  <c r="C27" i="7" s="1"/>
  <c r="E27" i="7" s="1"/>
  <c r="H27" i="7" s="1"/>
  <c r="B5" i="17"/>
  <c r="C5" i="17" s="1"/>
  <c r="E5" i="17" s="1"/>
  <c r="H5" i="17" s="1"/>
  <c r="H7" i="13"/>
  <c r="H6" i="13"/>
  <c r="H5" i="13"/>
  <c r="H4" i="13"/>
  <c r="H3" i="13"/>
  <c r="O12" i="13" s="1"/>
  <c r="H16" i="13"/>
  <c r="O14" i="13" s="1"/>
  <c r="H63" i="13" s="1"/>
  <c r="H15" i="13"/>
  <c r="N14" i="13" s="1"/>
  <c r="H14" i="13"/>
  <c r="H13" i="13"/>
  <c r="H12" i="13"/>
  <c r="H11" i="13"/>
  <c r="H10" i="13"/>
  <c r="H9" i="13"/>
  <c r="H8" i="13"/>
  <c r="O13" i="13" s="1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0" i="1" s="1"/>
  <c r="P4" i="1"/>
  <c r="K42" i="6"/>
  <c r="I42" i="6"/>
  <c r="D25" i="6"/>
  <c r="B25" i="6"/>
  <c r="K41" i="6"/>
  <c r="I41" i="6"/>
  <c r="D24" i="6"/>
  <c r="B24" i="6"/>
  <c r="K40" i="6"/>
  <c r="I40" i="6"/>
  <c r="D23" i="6"/>
  <c r="B23" i="6"/>
  <c r="K42" i="5"/>
  <c r="I42" i="5"/>
  <c r="D42" i="5"/>
  <c r="B42" i="5"/>
  <c r="K41" i="5"/>
  <c r="I41" i="5"/>
  <c r="D41" i="5"/>
  <c r="B41" i="5"/>
  <c r="K40" i="5"/>
  <c r="I40" i="5"/>
  <c r="D40" i="5"/>
  <c r="B40" i="5"/>
  <c r="L21" i="4"/>
  <c r="K21" i="4"/>
  <c r="H21" i="4"/>
  <c r="D22" i="4"/>
  <c r="L20" i="4"/>
  <c r="K20" i="4"/>
  <c r="H20" i="4"/>
  <c r="D21" i="4"/>
  <c r="L19" i="4"/>
  <c r="K19" i="4"/>
  <c r="H19" i="4"/>
  <c r="D20" i="4"/>
  <c r="L18" i="4"/>
  <c r="K18" i="4"/>
  <c r="H18" i="4"/>
  <c r="D19" i="4"/>
  <c r="L17" i="4"/>
  <c r="K17" i="4"/>
  <c r="H17" i="4"/>
  <c r="D18" i="4"/>
  <c r="L16" i="4"/>
  <c r="K16" i="4"/>
  <c r="H16" i="4"/>
  <c r="D17" i="4"/>
  <c r="L15" i="4"/>
  <c r="K15" i="4"/>
  <c r="H15" i="4"/>
  <c r="D16" i="4"/>
  <c r="L14" i="4"/>
  <c r="K14" i="4"/>
  <c r="H14" i="4"/>
  <c r="D15" i="4"/>
  <c r="L13" i="4"/>
  <c r="K13" i="4"/>
  <c r="H13" i="4"/>
  <c r="D14" i="4"/>
  <c r="L12" i="4"/>
  <c r="K12" i="4"/>
  <c r="H12" i="4"/>
  <c r="D13" i="4"/>
  <c r="L11" i="4"/>
  <c r="K11" i="4"/>
  <c r="H11" i="4"/>
  <c r="D12" i="4"/>
  <c r="L10" i="4"/>
  <c r="K10" i="4"/>
  <c r="H10" i="4"/>
  <c r="D11" i="4"/>
  <c r="L9" i="4"/>
  <c r="K9" i="4"/>
  <c r="H9" i="4"/>
  <c r="D10" i="4"/>
  <c r="L8" i="4"/>
  <c r="K8" i="4"/>
  <c r="H8" i="4"/>
  <c r="D9" i="4"/>
  <c r="D8" i="4"/>
  <c r="L7" i="4"/>
  <c r="K7" i="4"/>
  <c r="H7" i="4"/>
  <c r="D7" i="4"/>
  <c r="L6" i="4"/>
  <c r="K6" i="4"/>
  <c r="H6" i="4"/>
  <c r="D6" i="4"/>
  <c r="L5" i="4"/>
  <c r="K5" i="4"/>
  <c r="H5" i="4"/>
  <c r="D5" i="4"/>
  <c r="L4" i="4"/>
  <c r="K4" i="4"/>
  <c r="H4" i="4"/>
  <c r="J9" i="1"/>
  <c r="F9" i="5" s="1"/>
  <c r="G9" i="5" s="1"/>
  <c r="J25" i="1"/>
  <c r="F25" i="5" s="1"/>
  <c r="G25" i="5" s="1"/>
  <c r="J32" i="1"/>
  <c r="F32" i="5" s="1"/>
  <c r="G32" i="5" s="1"/>
  <c r="L3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" i="1"/>
  <c r="J38" i="1"/>
  <c r="F38" i="5" s="1"/>
  <c r="G38" i="5" s="1"/>
  <c r="L38" i="1"/>
  <c r="J37" i="1"/>
  <c r="F37" i="5" s="1"/>
  <c r="G37" i="5" s="1"/>
  <c r="L37" i="1"/>
  <c r="J36" i="1"/>
  <c r="F36" i="5" s="1"/>
  <c r="G36" i="5" s="1"/>
  <c r="L36" i="1"/>
  <c r="J35" i="1"/>
  <c r="J34" i="1"/>
  <c r="F34" i="5" s="1"/>
  <c r="G34" i="5" s="1"/>
  <c r="L34" i="1"/>
  <c r="J33" i="1"/>
  <c r="F33" i="5" s="1"/>
  <c r="G33" i="5" s="1"/>
  <c r="J31" i="1"/>
  <c r="F31" i="5" s="1"/>
  <c r="G31" i="5" s="1"/>
  <c r="L31" i="1"/>
  <c r="J30" i="1"/>
  <c r="F30" i="5" s="1"/>
  <c r="G30" i="5" s="1"/>
  <c r="J29" i="1"/>
  <c r="F29" i="5" s="1"/>
  <c r="G29" i="5" s="1"/>
  <c r="L29" i="1"/>
  <c r="J28" i="1"/>
  <c r="F28" i="5" s="1"/>
  <c r="G28" i="5" s="1"/>
  <c r="J27" i="1"/>
  <c r="F27" i="5" s="1"/>
  <c r="G27" i="5" s="1"/>
  <c r="L27" i="1"/>
  <c r="J26" i="1"/>
  <c r="F26" i="5" s="1"/>
  <c r="G26" i="5" s="1"/>
  <c r="J24" i="1"/>
  <c r="F24" i="5" s="1"/>
  <c r="G24" i="5" s="1"/>
  <c r="J23" i="1"/>
  <c r="F23" i="5" s="1"/>
  <c r="G23" i="5" s="1"/>
  <c r="J22" i="1"/>
  <c r="F22" i="5" s="1"/>
  <c r="G22" i="5" s="1"/>
  <c r="L22" i="1"/>
  <c r="J21" i="1"/>
  <c r="F21" i="5" s="1"/>
  <c r="G21" i="5" s="1"/>
  <c r="J20" i="1"/>
  <c r="F20" i="5" s="1"/>
  <c r="G20" i="5" s="1"/>
  <c r="J19" i="1"/>
  <c r="F19" i="5" s="1"/>
  <c r="G19" i="5" s="1"/>
  <c r="J18" i="1"/>
  <c r="F18" i="5" s="1"/>
  <c r="G18" i="5" s="1"/>
  <c r="L18" i="1"/>
  <c r="L17" i="1"/>
  <c r="J16" i="1"/>
  <c r="F16" i="5" s="1"/>
  <c r="G16" i="5" s="1"/>
  <c r="L16" i="1"/>
  <c r="J15" i="1"/>
  <c r="F15" i="5" s="1"/>
  <c r="G15" i="5" s="1"/>
  <c r="L15" i="1"/>
  <c r="J14" i="1"/>
  <c r="F14" i="5" s="1"/>
  <c r="G14" i="5" s="1"/>
  <c r="L14" i="1"/>
  <c r="J13" i="1"/>
  <c r="F13" i="5" s="1"/>
  <c r="G13" i="5" s="1"/>
  <c r="L13" i="1"/>
  <c r="J12" i="1"/>
  <c r="F12" i="5" s="1"/>
  <c r="G12" i="5" s="1"/>
  <c r="L12" i="1"/>
  <c r="J11" i="1"/>
  <c r="F11" i="5" s="1"/>
  <c r="G11" i="5" s="1"/>
  <c r="L11" i="1"/>
  <c r="J10" i="1"/>
  <c r="F10" i="5" s="1"/>
  <c r="G10" i="5" s="1"/>
  <c r="L10" i="1"/>
  <c r="J8" i="1"/>
  <c r="F8" i="5" s="1"/>
  <c r="G8" i="5" s="1"/>
  <c r="L8" i="1"/>
  <c r="J7" i="1"/>
  <c r="F7" i="5" s="1"/>
  <c r="G7" i="5" s="1"/>
  <c r="J6" i="1"/>
  <c r="F6" i="5" s="1"/>
  <c r="G6" i="5" s="1"/>
  <c r="L6" i="1"/>
  <c r="J5" i="1"/>
  <c r="F5" i="5" s="1"/>
  <c r="G5" i="5" s="1"/>
  <c r="L5" i="1"/>
  <c r="J4" i="1"/>
  <c r="F4" i="5" s="1"/>
  <c r="G4" i="5" s="1"/>
  <c r="L4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5" i="1"/>
  <c r="D6" i="1"/>
  <c r="D7" i="1"/>
  <c r="D8" i="1"/>
  <c r="D9" i="1"/>
  <c r="D10" i="1"/>
  <c r="D11" i="1"/>
  <c r="D12" i="1"/>
  <c r="D4" i="1"/>
  <c r="G63" i="13" l="1"/>
  <c r="B17" i="7"/>
  <c r="C17" i="7" s="1"/>
  <c r="E17" i="7" s="1"/>
  <c r="H17" i="7" s="1"/>
  <c r="B18" i="7"/>
  <c r="C18" i="7" s="1"/>
  <c r="E18" i="7" s="1"/>
  <c r="B19" i="7"/>
  <c r="C19" i="7" s="1"/>
  <c r="E19" i="7" s="1"/>
  <c r="H19" i="7" s="1"/>
  <c r="B23" i="7"/>
  <c r="C23" i="7" s="1"/>
  <c r="E23" i="7" s="1"/>
  <c r="H23" i="7" s="1"/>
  <c r="B24" i="7"/>
  <c r="C24" i="7" s="1"/>
  <c r="E24" i="7" s="1"/>
  <c r="H24" i="7" s="1"/>
  <c r="B22" i="7"/>
  <c r="C22" i="7" s="1"/>
  <c r="E22" i="7" s="1"/>
  <c r="H22" i="7" s="1"/>
  <c r="L19" i="1"/>
  <c r="L41" i="1" s="1"/>
  <c r="L23" i="1"/>
  <c r="L28" i="1"/>
  <c r="L33" i="1"/>
  <c r="L25" i="1"/>
  <c r="N13" i="13"/>
  <c r="O15" i="13"/>
  <c r="AC15" i="13"/>
  <c r="AC12" i="16"/>
  <c r="B5" i="18" s="1"/>
  <c r="C5" i="18" s="1"/>
  <c r="E5" i="18" s="1"/>
  <c r="H5" i="18" s="1"/>
  <c r="L20" i="1"/>
  <c r="L24" i="1"/>
  <c r="L9" i="1"/>
  <c r="B32" i="7"/>
  <c r="C32" i="7" s="1"/>
  <c r="E32" i="7" s="1"/>
  <c r="H32" i="7" s="1"/>
  <c r="J33" i="7" s="1"/>
  <c r="L7" i="1"/>
  <c r="N12" i="13"/>
  <c r="B4" i="17"/>
  <c r="C4" i="17" s="1"/>
  <c r="E4" i="17" s="1"/>
  <c r="H4" i="17" s="1"/>
  <c r="B34" i="7"/>
  <c r="C34" i="7" s="1"/>
  <c r="E34" i="7" s="1"/>
  <c r="H34" i="7" s="1"/>
  <c r="G41" i="5"/>
  <c r="G42" i="5"/>
  <c r="K41" i="1"/>
  <c r="H40" i="1"/>
  <c r="L21" i="1"/>
  <c r="L26" i="1"/>
  <c r="L30" i="1"/>
  <c r="L35" i="1"/>
  <c r="F35" i="5"/>
  <c r="G35" i="5" s="1"/>
  <c r="G40" i="5" s="1"/>
  <c r="D24" i="4"/>
  <c r="N16" i="16"/>
  <c r="O13" i="16"/>
  <c r="L23" i="4"/>
  <c r="D25" i="4"/>
  <c r="K23" i="4"/>
  <c r="H23" i="4"/>
  <c r="H24" i="4"/>
  <c r="K24" i="4"/>
  <c r="L24" i="4"/>
  <c r="P41" i="4"/>
  <c r="AC17" i="16"/>
  <c r="B31" i="18" s="1"/>
  <c r="C31" i="18" s="1"/>
  <c r="E31" i="18" s="1"/>
  <c r="H31" i="18" s="1"/>
  <c r="B30" i="18"/>
  <c r="C30" i="18" s="1"/>
  <c r="E30" i="18" s="1"/>
  <c r="H30" i="18" s="1"/>
  <c r="AC17" i="13"/>
  <c r="B30" i="17" s="1"/>
  <c r="C30" i="17" s="1"/>
  <c r="E30" i="17" s="1"/>
  <c r="H30" i="17" s="1"/>
  <c r="P40" i="4"/>
  <c r="K40" i="1"/>
  <c r="H41" i="1"/>
  <c r="D41" i="1"/>
  <c r="D40" i="1"/>
  <c r="N12" i="16"/>
  <c r="AD17" i="16"/>
  <c r="N13" i="16"/>
  <c r="N14" i="16"/>
  <c r="B4" i="18"/>
  <c r="C4" i="18" s="1"/>
  <c r="E4" i="18" s="1"/>
  <c r="H4" i="18" s="1"/>
  <c r="O16" i="16"/>
  <c r="O14" i="16"/>
  <c r="H65" i="13" s="1"/>
  <c r="AD15" i="16"/>
  <c r="AC15" i="16"/>
  <c r="AD15" i="13"/>
  <c r="AC16" i="16"/>
  <c r="AD16" i="16"/>
  <c r="AC16" i="13"/>
  <c r="AD16" i="13"/>
  <c r="AD13" i="16"/>
  <c r="AD14" i="13"/>
  <c r="H64" i="13" s="1"/>
  <c r="AD13" i="13"/>
  <c r="AC13" i="13"/>
  <c r="AC13" i="16"/>
  <c r="AD14" i="16"/>
  <c r="H66" i="13" s="1"/>
  <c r="AC14" i="16"/>
  <c r="G66" i="13" s="1"/>
  <c r="AC14" i="13"/>
  <c r="G64" i="13" s="1"/>
  <c r="I3" i="17"/>
  <c r="J3" i="17" s="1"/>
  <c r="J4" i="17"/>
  <c r="P41" i="1"/>
  <c r="H18" i="7"/>
  <c r="J18" i="7" s="1"/>
  <c r="J28" i="7"/>
  <c r="I27" i="7"/>
  <c r="I22" i="7"/>
  <c r="J23" i="7"/>
  <c r="B21" i="17" l="1"/>
  <c r="C21" i="17" s="1"/>
  <c r="E21" i="17" s="1"/>
  <c r="H21" i="17" s="1"/>
  <c r="B22" i="17"/>
  <c r="C22" i="17" s="1"/>
  <c r="E22" i="17" s="1"/>
  <c r="H22" i="17" s="1"/>
  <c r="B20" i="17"/>
  <c r="C20" i="17" s="1"/>
  <c r="E20" i="17" s="1"/>
  <c r="H20" i="17" s="1"/>
  <c r="B22" i="18"/>
  <c r="C22" i="18" s="1"/>
  <c r="E22" i="18" s="1"/>
  <c r="H22" i="18" s="1"/>
  <c r="B20" i="18"/>
  <c r="C20" i="18" s="1"/>
  <c r="E20" i="18" s="1"/>
  <c r="H20" i="18" s="1"/>
  <c r="B21" i="18"/>
  <c r="C21" i="18" s="1"/>
  <c r="E21" i="18" s="1"/>
  <c r="H21" i="18" s="1"/>
  <c r="B9" i="19"/>
  <c r="C9" i="19" s="1"/>
  <c r="E9" i="19" s="1"/>
  <c r="H9" i="19" s="1"/>
  <c r="B10" i="19"/>
  <c r="C10" i="19" s="1"/>
  <c r="E10" i="19" s="1"/>
  <c r="H10" i="19" s="1"/>
  <c r="B11" i="19"/>
  <c r="C11" i="19" s="1"/>
  <c r="E11" i="19" s="1"/>
  <c r="H11" i="19" s="1"/>
  <c r="B12" i="19"/>
  <c r="C12" i="19" s="1"/>
  <c r="E12" i="19" s="1"/>
  <c r="H12" i="19" s="1"/>
  <c r="B8" i="19"/>
  <c r="C8" i="19" s="1"/>
  <c r="E8" i="19" s="1"/>
  <c r="H8" i="19" s="1"/>
  <c r="B7" i="7"/>
  <c r="C7" i="7" s="1"/>
  <c r="E7" i="7" s="1"/>
  <c r="H7" i="7" s="1"/>
  <c r="B6" i="7"/>
  <c r="C6" i="7" s="1"/>
  <c r="E6" i="7" s="1"/>
  <c r="H6" i="7" s="1"/>
  <c r="B4" i="7"/>
  <c r="C4" i="7" s="1"/>
  <c r="E4" i="7" s="1"/>
  <c r="H4" i="7" s="1"/>
  <c r="B3" i="7"/>
  <c r="C3" i="7" s="1"/>
  <c r="E3" i="7" s="1"/>
  <c r="H3" i="7" s="1"/>
  <c r="I3" i="7" s="1"/>
  <c r="J3" i="7" s="1"/>
  <c r="B5" i="7"/>
  <c r="C5" i="7" s="1"/>
  <c r="E5" i="7" s="1"/>
  <c r="H5" i="7" s="1"/>
  <c r="L40" i="1"/>
  <c r="B26" i="19"/>
  <c r="C26" i="19" s="1"/>
  <c r="E26" i="19" s="1"/>
  <c r="H26" i="19" s="1"/>
  <c r="B27" i="19"/>
  <c r="C27" i="19" s="1"/>
  <c r="E27" i="19" s="1"/>
  <c r="H27" i="19" s="1"/>
  <c r="B25" i="19"/>
  <c r="C25" i="19" s="1"/>
  <c r="E25" i="19" s="1"/>
  <c r="H25" i="19" s="1"/>
  <c r="B10" i="7"/>
  <c r="C10" i="7" s="1"/>
  <c r="E10" i="7" s="1"/>
  <c r="H10" i="7" s="1"/>
  <c r="B11" i="7"/>
  <c r="C11" i="7" s="1"/>
  <c r="E11" i="7" s="1"/>
  <c r="H11" i="7" s="1"/>
  <c r="I10" i="7" s="1"/>
  <c r="B12" i="7"/>
  <c r="C12" i="7" s="1"/>
  <c r="E12" i="7" s="1"/>
  <c r="H12" i="7" s="1"/>
  <c r="B13" i="7"/>
  <c r="C13" i="7" s="1"/>
  <c r="E13" i="7" s="1"/>
  <c r="H13" i="7" s="1"/>
  <c r="J11" i="7" s="1"/>
  <c r="B14" i="7"/>
  <c r="C14" i="7" s="1"/>
  <c r="E14" i="7" s="1"/>
  <c r="H14" i="7" s="1"/>
  <c r="I32" i="7"/>
  <c r="B16" i="19"/>
  <c r="C16" i="19" s="1"/>
  <c r="E16" i="19" s="1"/>
  <c r="H16" i="19" s="1"/>
  <c r="B17" i="19"/>
  <c r="C17" i="19" s="1"/>
  <c r="E17" i="19" s="1"/>
  <c r="H17" i="19" s="1"/>
  <c r="B15" i="19"/>
  <c r="C15" i="19" s="1"/>
  <c r="E15" i="19" s="1"/>
  <c r="H15" i="19" s="1"/>
  <c r="G65" i="13"/>
  <c r="B64" i="19"/>
  <c r="C64" i="19" s="1"/>
  <c r="E64" i="19" s="1"/>
  <c r="H64" i="19" s="1"/>
  <c r="B63" i="19"/>
  <c r="C63" i="19" s="1"/>
  <c r="E63" i="19" s="1"/>
  <c r="H63" i="19" s="1"/>
  <c r="B62" i="19"/>
  <c r="C62" i="19" s="1"/>
  <c r="E62" i="19" s="1"/>
  <c r="H62" i="19" s="1"/>
  <c r="B5" i="19"/>
  <c r="C5" i="19" s="1"/>
  <c r="E5" i="19" s="1"/>
  <c r="H5" i="19" s="1"/>
  <c r="B3" i="19"/>
  <c r="C3" i="19" s="1"/>
  <c r="E3" i="19" s="1"/>
  <c r="H3" i="19" s="1"/>
  <c r="B4" i="19"/>
  <c r="C4" i="19" s="1"/>
  <c r="E4" i="19" s="1"/>
  <c r="H4" i="19" s="1"/>
  <c r="B26" i="17"/>
  <c r="C26" i="17" s="1"/>
  <c r="E26" i="17" s="1"/>
  <c r="H26" i="17" s="1"/>
  <c r="B27" i="17"/>
  <c r="C27" i="17" s="1"/>
  <c r="E27" i="17" s="1"/>
  <c r="H27" i="17" s="1"/>
  <c r="B25" i="17"/>
  <c r="C25" i="17" s="1"/>
  <c r="E25" i="17" s="1"/>
  <c r="H25" i="17" s="1"/>
  <c r="B3" i="18"/>
  <c r="C3" i="18" s="1"/>
  <c r="E3" i="18" s="1"/>
  <c r="H3" i="18" s="1"/>
  <c r="I3" i="18" s="1"/>
  <c r="J3" i="18" s="1"/>
  <c r="B31" i="17"/>
  <c r="C31" i="17" s="1"/>
  <c r="E31" i="17" s="1"/>
  <c r="H31" i="17" s="1"/>
  <c r="I30" i="17" s="1"/>
  <c r="B32" i="18"/>
  <c r="C32" i="18" s="1"/>
  <c r="E32" i="18" s="1"/>
  <c r="H32" i="18" s="1"/>
  <c r="I30" i="18" s="1"/>
  <c r="J30" i="18" s="1"/>
  <c r="J31" i="18"/>
  <c r="B32" i="17"/>
  <c r="C32" i="17" s="1"/>
  <c r="E32" i="17" s="1"/>
  <c r="H32" i="17" s="1"/>
  <c r="B11" i="18"/>
  <c r="C11" i="18" s="1"/>
  <c r="E11" i="18" s="1"/>
  <c r="H11" i="18" s="1"/>
  <c r="B12" i="18"/>
  <c r="C12" i="18" s="1"/>
  <c r="E12" i="18" s="1"/>
  <c r="H12" i="18" s="1"/>
  <c r="B9" i="18"/>
  <c r="C9" i="18" s="1"/>
  <c r="E9" i="18" s="1"/>
  <c r="H9" i="18" s="1"/>
  <c r="B8" i="18"/>
  <c r="C8" i="18" s="1"/>
  <c r="E8" i="18" s="1"/>
  <c r="H8" i="18" s="1"/>
  <c r="B10" i="18"/>
  <c r="C10" i="18" s="1"/>
  <c r="E10" i="18" s="1"/>
  <c r="H10" i="18" s="1"/>
  <c r="B26" i="18"/>
  <c r="C26" i="18" s="1"/>
  <c r="E26" i="18" s="1"/>
  <c r="H26" i="18" s="1"/>
  <c r="B27" i="18"/>
  <c r="C27" i="18" s="1"/>
  <c r="E27" i="18" s="1"/>
  <c r="H27" i="18" s="1"/>
  <c r="B25" i="18"/>
  <c r="C25" i="18" s="1"/>
  <c r="E25" i="18" s="1"/>
  <c r="H25" i="18" s="1"/>
  <c r="B12" i="17"/>
  <c r="C12" i="17" s="1"/>
  <c r="E12" i="17" s="1"/>
  <c r="H12" i="17" s="1"/>
  <c r="B9" i="17"/>
  <c r="C9" i="17" s="1"/>
  <c r="E9" i="17" s="1"/>
  <c r="H9" i="17" s="1"/>
  <c r="B8" i="17"/>
  <c r="C8" i="17" s="1"/>
  <c r="E8" i="17" s="1"/>
  <c r="H8" i="17" s="1"/>
  <c r="B10" i="17"/>
  <c r="C10" i="17" s="1"/>
  <c r="E10" i="17" s="1"/>
  <c r="H10" i="17" s="1"/>
  <c r="B11" i="17"/>
  <c r="C11" i="17" s="1"/>
  <c r="E11" i="17" s="1"/>
  <c r="H11" i="17" s="1"/>
  <c r="B15" i="18"/>
  <c r="C15" i="18" s="1"/>
  <c r="E15" i="18" s="1"/>
  <c r="H15" i="18" s="1"/>
  <c r="B17" i="18"/>
  <c r="C17" i="18" s="1"/>
  <c r="E17" i="18" s="1"/>
  <c r="H17" i="18" s="1"/>
  <c r="B16" i="18"/>
  <c r="C16" i="18" s="1"/>
  <c r="E16" i="18" s="1"/>
  <c r="H16" i="18" s="1"/>
  <c r="B16" i="17"/>
  <c r="C16" i="17" s="1"/>
  <c r="E16" i="17" s="1"/>
  <c r="H16" i="17" s="1"/>
  <c r="B15" i="17"/>
  <c r="C15" i="17" s="1"/>
  <c r="E15" i="17" s="1"/>
  <c r="H15" i="17" s="1"/>
  <c r="B17" i="17"/>
  <c r="C17" i="17" s="1"/>
  <c r="E17" i="17" s="1"/>
  <c r="H17" i="17" s="1"/>
  <c r="I17" i="7"/>
  <c r="J17" i="7" s="1"/>
  <c r="J27" i="7"/>
  <c r="J32" i="7"/>
  <c r="J22" i="7"/>
  <c r="I62" i="19" l="1"/>
  <c r="J62" i="19" s="1"/>
  <c r="J63" i="19"/>
  <c r="J16" i="19"/>
  <c r="I15" i="19"/>
  <c r="J15" i="19" s="1"/>
  <c r="J4" i="7"/>
  <c r="J21" i="18"/>
  <c r="I20" i="18"/>
  <c r="J20" i="18" s="1"/>
  <c r="J4" i="18"/>
  <c r="J31" i="17"/>
  <c r="I25" i="19"/>
  <c r="J25" i="19" s="1"/>
  <c r="J26" i="19"/>
  <c r="J26" i="17"/>
  <c r="I25" i="17"/>
  <c r="J25" i="17" s="1"/>
  <c r="I3" i="19"/>
  <c r="J3" i="19" s="1"/>
  <c r="J4" i="19"/>
  <c r="I8" i="19"/>
  <c r="J8" i="19" s="1"/>
  <c r="J9" i="19"/>
  <c r="I20" i="17"/>
  <c r="J20" i="17" s="1"/>
  <c r="J21" i="17"/>
  <c r="I8" i="17"/>
  <c r="J30" i="17"/>
  <c r="I25" i="18"/>
  <c r="J25" i="18" s="1"/>
  <c r="J26" i="18"/>
  <c r="I8" i="18"/>
  <c r="J8" i="18" s="1"/>
  <c r="J9" i="18"/>
  <c r="J9" i="17"/>
  <c r="I15" i="18"/>
  <c r="J15" i="18" s="1"/>
  <c r="J16" i="18"/>
  <c r="J16" i="17"/>
  <c r="I15" i="17"/>
  <c r="J8" i="17"/>
  <c r="J10" i="7"/>
  <c r="J15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400 R1/2: 0.087/0.179. 200 R1/R2: 0.334/0.684. Linearity is better when these are removed, every sample was diluted &lt;the 100 Std</t>
        </r>
      </text>
    </comment>
    <comment ref="N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200 = 0.322, 0.688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400 = 1.871</t>
        </r>
      </text>
    </comment>
    <comment ref="N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400 = 1.874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200 R1 = 0.791+0.986
400 R3 = 0.597 + 0.654 (once diluted)</t>
        </r>
      </text>
    </comment>
    <comment ref="L5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R1: 2.091, R2: 2.198</t>
        </r>
      </text>
    </comment>
  </commentList>
</comments>
</file>

<file path=xl/sharedStrings.xml><?xml version="1.0" encoding="utf-8"?>
<sst xmlns="http://schemas.openxmlformats.org/spreadsheetml/2006/main" count="1629" uniqueCount="203">
  <si>
    <t>Rep</t>
  </si>
  <si>
    <t>Initial</t>
  </si>
  <si>
    <t>Alive</t>
  </si>
  <si>
    <t>% Survival</t>
  </si>
  <si>
    <t>Average</t>
  </si>
  <si>
    <t>Stdev</t>
  </si>
  <si>
    <t>SURVIVAL 0.2 ppt NR</t>
  </si>
  <si>
    <t>Po d28</t>
  </si>
  <si>
    <t>Po d42</t>
  </si>
  <si>
    <t>% Male</t>
  </si>
  <si>
    <t>% Female</t>
  </si>
  <si>
    <t># Male</t>
  </si>
  <si>
    <t># Female</t>
  </si>
  <si>
    <t>SURVIVAL 6.0 ppt NR</t>
  </si>
  <si>
    <t>SURVIVAL 6.0 ppt EC</t>
  </si>
  <si>
    <t>SURVIVAL 0.2 ppt EC</t>
  </si>
  <si>
    <t>REPRODUCTION 0.2 ppt NR</t>
  </si>
  <si>
    <t>REPRODUCTION 6.0 ppt NR</t>
  </si>
  <si>
    <t>Po d35 (F1A)</t>
  </si>
  <si>
    <t>Po d42 (F1B)</t>
  </si>
  <si>
    <t># Offspring</t>
  </si>
  <si>
    <t>Total</t>
  </si>
  <si>
    <t>REPRODUCTION 0.2 ppt EC</t>
  </si>
  <si>
    <t>REPRODUCTION 6.0 ppt EC</t>
  </si>
  <si>
    <t>absorbance</t>
  </si>
  <si>
    <t>ug lipid</t>
  </si>
  <si>
    <t>% lipid</t>
  </si>
  <si>
    <t>RSD</t>
  </si>
  <si>
    <t>a</t>
  </si>
  <si>
    <t>Cal Curve</t>
  </si>
  <si>
    <t>b</t>
  </si>
  <si>
    <t>c</t>
  </si>
  <si>
    <t>SD</t>
  </si>
  <si>
    <t>d</t>
  </si>
  <si>
    <t>e</t>
  </si>
  <si>
    <t xml:space="preserve">Po D0 </t>
  </si>
  <si>
    <t>Po D42</t>
  </si>
  <si>
    <t>F1A d28</t>
  </si>
  <si>
    <t>F1B d28</t>
  </si>
  <si>
    <t>F1B</t>
  </si>
  <si>
    <t>F1A</t>
  </si>
  <si>
    <t>Total M</t>
  </si>
  <si>
    <t>Total F</t>
  </si>
  <si>
    <t>% M</t>
  </si>
  <si>
    <t>% F</t>
  </si>
  <si>
    <t>CAF</t>
  </si>
  <si>
    <t>F6</t>
  </si>
  <si>
    <t>F5</t>
  </si>
  <si>
    <t>F4</t>
  </si>
  <si>
    <t>F3</t>
  </si>
  <si>
    <t>F2</t>
  </si>
  <si>
    <t>D5</t>
  </si>
  <si>
    <t>D4</t>
  </si>
  <si>
    <t>D3</t>
  </si>
  <si>
    <t>D2</t>
  </si>
  <si>
    <t>D1</t>
  </si>
  <si>
    <t>C8</t>
  </si>
  <si>
    <t>C7</t>
  </si>
  <si>
    <t>C6</t>
  </si>
  <si>
    <t>C5</t>
  </si>
  <si>
    <t>Initials</t>
  </si>
  <si>
    <t>Humidity</t>
  </si>
  <si>
    <t>Temp</t>
  </si>
  <si>
    <t>Date</t>
  </si>
  <si>
    <t>Conditions</t>
  </si>
  <si>
    <t>Final Weight Date</t>
  </si>
  <si>
    <t>Pre-Weights Date</t>
  </si>
  <si>
    <t>Individual Dry Weight (mg)</t>
  </si>
  <si>
    <t>pan + dry (mg)</t>
  </si>
  <si>
    <t># of animals</t>
  </si>
  <si>
    <t>pan weight (mg)</t>
  </si>
  <si>
    <t>Sample</t>
  </si>
  <si>
    <t>cell ID</t>
  </si>
  <si>
    <t>plate</t>
  </si>
  <si>
    <t>StDev</t>
  </si>
  <si>
    <t>0.2 ppt Po D0</t>
  </si>
  <si>
    <t>0.2 ppt Po D42</t>
  </si>
  <si>
    <t>0.2 ppt F1A D7</t>
  </si>
  <si>
    <t>0.2 ppt F1A D28</t>
  </si>
  <si>
    <t>0.2 ppt F1B D7</t>
  </si>
  <si>
    <t>0.2 ppt F1B D28</t>
  </si>
  <si>
    <t>Dry Weight NR 0.2 ppt</t>
  </si>
  <si>
    <t>Dry Weight NR 6.0 ppt</t>
  </si>
  <si>
    <t>Po D0</t>
  </si>
  <si>
    <t>F1A D7</t>
  </si>
  <si>
    <t>F1A D28</t>
  </si>
  <si>
    <t>F1B D7</t>
  </si>
  <si>
    <t>F1B D28</t>
  </si>
  <si>
    <t>D6</t>
  </si>
  <si>
    <t>D7</t>
  </si>
  <si>
    <t>D8</t>
  </si>
  <si>
    <t>E1</t>
  </si>
  <si>
    <t>E2</t>
  </si>
  <si>
    <t>E3</t>
  </si>
  <si>
    <t>E4</t>
  </si>
  <si>
    <t>E5</t>
  </si>
  <si>
    <t>E6</t>
  </si>
  <si>
    <t>Average ind dw (mg)</t>
  </si>
  <si>
    <t>Average ind dw (ug)</t>
  </si>
  <si>
    <t>Number animals</t>
  </si>
  <si>
    <t>Total weight (ug)</t>
  </si>
  <si>
    <t>F1B d7</t>
  </si>
  <si>
    <t xml:space="preserve">F1A d7 </t>
  </si>
  <si>
    <t xml:space="preserve">Po D42 </t>
  </si>
  <si>
    <t>Absorbance (10x dilute)</t>
  </si>
  <si>
    <t xml:space="preserve">Grow Out </t>
  </si>
  <si>
    <t>DO (mg/L)</t>
  </si>
  <si>
    <t>pH</t>
  </si>
  <si>
    <t>Ammonia (ppm)</t>
  </si>
  <si>
    <t>Alkalinity (ppm)</t>
  </si>
  <si>
    <t>Hardness (ppm)</t>
  </si>
  <si>
    <t>AVERAGE</t>
  </si>
  <si>
    <t>STDEV</t>
  </si>
  <si>
    <t>na</t>
  </si>
  <si>
    <t>MIN</t>
  </si>
  <si>
    <t>MAX</t>
  </si>
  <si>
    <t>Po</t>
  </si>
  <si>
    <t>Cond (ms)</t>
  </si>
  <si>
    <r>
      <t>Cond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s)</t>
    </r>
  </si>
  <si>
    <r>
      <t>Temp (</t>
    </r>
    <r>
      <rPr>
        <b/>
        <sz val="11"/>
        <color theme="1"/>
        <rFont val="Calibri"/>
        <family val="2"/>
      </rPr>
      <t>°C)</t>
    </r>
  </si>
  <si>
    <t>E7</t>
  </si>
  <si>
    <t>E8</t>
  </si>
  <si>
    <t>F1</t>
  </si>
  <si>
    <t>SEA</t>
  </si>
  <si>
    <t>a=</t>
  </si>
  <si>
    <t>b=</t>
  </si>
  <si>
    <t>c=</t>
  </si>
  <si>
    <t>TOTAL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</si>
  <si>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</si>
  <si>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</si>
  <si>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</si>
  <si>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</si>
  <si>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</si>
  <si>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</si>
  <si>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</si>
  <si>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</si>
  <si>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</si>
  <si>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</si>
  <si>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</si>
  <si>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</si>
  <si>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</si>
  <si>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</si>
  <si>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</si>
  <si>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</si>
  <si>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C1</t>
  </si>
  <si>
    <t>C2</t>
  </si>
  <si>
    <t>FROM ABOVE</t>
  </si>
  <si>
    <t>R1</t>
  </si>
  <si>
    <t>R2</t>
  </si>
  <si>
    <t>FROM NR 6.0</t>
  </si>
  <si>
    <r>
      <t>Cal Curve (</t>
    </r>
    <r>
      <rPr>
        <b/>
        <sz val="11"/>
        <color theme="1"/>
        <rFont val="Calibri"/>
        <family val="2"/>
        <scheme val="minor"/>
      </rPr>
      <t>NR 0.2:</t>
    </r>
    <r>
      <rPr>
        <sz val="11"/>
        <color theme="1"/>
        <rFont val="Calibri"/>
        <family val="2"/>
        <scheme val="minor"/>
      </rPr>
      <t xml:space="preserve"> D0, D42, F1A D7, F1B D7;</t>
    </r>
    <r>
      <rPr>
        <b/>
        <sz val="11"/>
        <color theme="1"/>
        <rFont val="Calibri"/>
        <family val="2"/>
        <scheme val="minor"/>
      </rPr>
      <t xml:space="preserve"> NR 6.0</t>
    </r>
    <r>
      <rPr>
        <sz val="11"/>
        <color theme="1"/>
        <rFont val="Calibri"/>
        <family val="2"/>
        <scheme val="minor"/>
      </rPr>
      <t>: D0)</t>
    </r>
  </si>
  <si>
    <r>
      <t>Cal Curve (</t>
    </r>
    <r>
      <rPr>
        <b/>
        <sz val="11"/>
        <color theme="1"/>
        <rFont val="Calibri"/>
        <family val="2"/>
        <scheme val="minor"/>
      </rPr>
      <t>EC 6.0:</t>
    </r>
    <r>
      <rPr>
        <sz val="11"/>
        <color theme="1"/>
        <rFont val="Calibri"/>
        <family val="2"/>
        <scheme val="minor"/>
      </rPr>
      <t xml:space="preserve"> Po d0, F1A d7; </t>
    </r>
    <r>
      <rPr>
        <b/>
        <sz val="11"/>
        <color theme="1"/>
        <rFont val="Calibri"/>
        <family val="2"/>
        <scheme val="minor"/>
      </rPr>
      <t>NR 6.0:</t>
    </r>
    <r>
      <rPr>
        <sz val="11"/>
        <color theme="1"/>
        <rFont val="Calibri"/>
        <family val="2"/>
        <scheme val="minor"/>
      </rPr>
      <t xml:space="preserve"> F1A d7, Po d42; </t>
    </r>
    <r>
      <rPr>
        <b/>
        <sz val="11"/>
        <color theme="1"/>
        <rFont val="Calibri"/>
        <family val="2"/>
        <scheme val="minor"/>
      </rPr>
      <t>NR 0.2</t>
    </r>
    <r>
      <rPr>
        <sz val="11"/>
        <color theme="1"/>
        <rFont val="Calibri"/>
        <family val="2"/>
        <scheme val="minor"/>
      </rPr>
      <t>: F1A d28, F1B d28</t>
    </r>
  </si>
  <si>
    <t>C3</t>
  </si>
  <si>
    <t>C4</t>
  </si>
  <si>
    <t>Dry Weight EC 6.0 ppt</t>
  </si>
  <si>
    <t>Dry Weight EC 0.2 ppt</t>
  </si>
  <si>
    <t>NF</t>
  </si>
  <si>
    <t>6.0 ppt Po D0</t>
  </si>
  <si>
    <t>6.0 ppt Po D42</t>
  </si>
  <si>
    <t>6.0 ppt F1A D7</t>
  </si>
  <si>
    <t>6.0 ppt F1A D28</t>
  </si>
  <si>
    <t>6.0 ppt F1B D7</t>
  </si>
  <si>
    <t>6.0 ppt F1B D28</t>
  </si>
  <si>
    <t>FROM EC 0.2</t>
  </si>
  <si>
    <t>FROM NR 0.2 ppt</t>
  </si>
  <si>
    <t>FOR EC 0.2 ppt Po D0</t>
  </si>
  <si>
    <r>
      <rPr>
        <b/>
        <sz val="11"/>
        <color theme="1"/>
        <rFont val="Calibri"/>
        <family val="2"/>
        <scheme val="minor"/>
      </rPr>
      <t>EC 6.0:</t>
    </r>
    <r>
      <rPr>
        <sz val="11"/>
        <color theme="1"/>
        <rFont val="Calibri"/>
        <family val="2"/>
        <scheme val="minor"/>
      </rPr>
      <t xml:space="preserve"> Po d42, F1B d7, F1A d28, F1B d28 </t>
    </r>
    <r>
      <rPr>
        <b/>
        <sz val="11"/>
        <color theme="1"/>
        <rFont val="Calibri"/>
        <family val="2"/>
        <scheme val="minor"/>
      </rPr>
      <t xml:space="preserve">NR 6.0 </t>
    </r>
    <r>
      <rPr>
        <sz val="11"/>
        <color theme="1"/>
        <rFont val="Calibri"/>
        <family val="2"/>
        <scheme val="minor"/>
      </rPr>
      <t>F1B d7, F1A d28, F1B d28</t>
    </r>
  </si>
  <si>
    <t>Total offspring/female</t>
  </si>
  <si>
    <t>NR 0.2</t>
  </si>
  <si>
    <t>NR 6.0</t>
  </si>
  <si>
    <t>PR 0.2</t>
  </si>
  <si>
    <t>PR 6.0</t>
  </si>
  <si>
    <t>F7</t>
  </si>
  <si>
    <t>F8</t>
  </si>
  <si>
    <t>F9</t>
  </si>
  <si>
    <t>7d F1A</t>
  </si>
  <si>
    <t>Po D0 redo</t>
  </si>
  <si>
    <t>1 alive animal</t>
  </si>
  <si>
    <t>NA</t>
  </si>
  <si>
    <r>
      <t>EC 0.2:</t>
    </r>
    <r>
      <rPr>
        <sz val="11"/>
        <color theme="1"/>
        <rFont val="Calibri"/>
        <family val="2"/>
        <scheme val="minor"/>
      </rPr>
      <t xml:space="preserve"> Po d0 (redo), d42. F1A d7, F1B d7</t>
    </r>
  </si>
  <si>
    <t>No animals</t>
  </si>
  <si>
    <t>Po D0 (bad)</t>
  </si>
  <si>
    <t>Paper</t>
  </si>
  <si>
    <t>Authors</t>
  </si>
  <si>
    <t>Journal</t>
  </si>
  <si>
    <t>Summary</t>
  </si>
  <si>
    <t>Corie A. Fulton, Kara E. Huff Hartz, Neil W. Fuller, Logan N. Kent, Sara E. Anzalone, Tristin M. Miller, Richard E. Connon, Helen P. Poynton, Michael J. Lydy</t>
  </si>
  <si>
    <t>Science of the Total Environment</t>
  </si>
  <si>
    <t>Date Created</t>
  </si>
  <si>
    <t>File Format:</t>
  </si>
  <si>
    <t>Excel (.xlsx)</t>
  </si>
  <si>
    <t>File Size:</t>
  </si>
  <si>
    <t>Geographic Coverage:</t>
  </si>
  <si>
    <t>Scientific names:</t>
  </si>
  <si>
    <t>Hyalella azteca</t>
  </si>
  <si>
    <t>Keywords:</t>
  </si>
  <si>
    <t>Related Content:</t>
  </si>
  <si>
    <t>not applicable (lab study)</t>
  </si>
  <si>
    <t>https://doi.org/10.1016/j.scitotenv.2020.141945</t>
  </si>
  <si>
    <t>amphipod, salinity, temperature, pyrethroid-resistance, life-cycle tests, global climate change</t>
  </si>
  <si>
    <t>Fitness Costs of Pesticide Resistance in Hyalella azteca under Future Climate Change Scenarios</t>
  </si>
  <si>
    <t>157 kB</t>
  </si>
  <si>
    <t>Survival/sex ratio, reproduction, lipids, dry mass, and water quality parameters for non-resistant and pyrethroid-resistant Hyalella 42 day test and grow-outs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</si>
</sst>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%"/>
    <numFmt numFmtId="166" formatCode="0.0000"/>
    <numFmt numFmtId="167" formatCode="0.00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8">
    <xf numFmtId="0" fontId="0" fillId="0" borderId="0" xfId="0"/>
    <xf numFmtId="9" fontId="0" fillId="0" borderId="0" xfId="1" applyFont="1"/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0" fillId="0" borderId="0" xfId="0" applyBorder="1"/>
    <xf numFmtId="0" fontId="2" fillId="0" borderId="6" xfId="0" applyFont="1" applyBorder="1"/>
    <xf numFmtId="9" fontId="0" fillId="0" borderId="0" xfId="1" applyFont="1" applyBorder="1"/>
    <xf numFmtId="9" fontId="2" fillId="0" borderId="0" xfId="0" applyNumberFormat="1" applyFont="1" applyBorder="1"/>
    <xf numFmtId="9" fontId="2" fillId="0" borderId="7" xfId="1" applyFont="1" applyBorder="1"/>
    <xf numFmtId="0" fontId="0" fillId="0" borderId="0" xfId="0" applyFill="1" applyBorder="1"/>
    <xf numFmtId="9" fontId="2" fillId="0" borderId="0" xfId="1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1" xfId="0" applyBorder="1"/>
    <xf numFmtId="0" fontId="0" fillId="0" borderId="12" xfId="0" applyBorder="1"/>
    <xf numFmtId="2" fontId="2" fillId="0" borderId="0" xfId="0" applyNumberFormat="1" applyFont="1" applyBorder="1"/>
    <xf numFmtId="0" fontId="2" fillId="0" borderId="13" xfId="0" applyFont="1" applyBorder="1"/>
    <xf numFmtId="0" fontId="2" fillId="3" borderId="4" xfId="0" applyFont="1" applyFill="1" applyBorder="1"/>
    <xf numFmtId="0" fontId="2" fillId="3" borderId="0" xfId="0" applyFont="1" applyFill="1" applyBorder="1"/>
    <xf numFmtId="9" fontId="2" fillId="3" borderId="0" xfId="1" applyFont="1" applyFill="1" applyBorder="1"/>
    <xf numFmtId="0" fontId="0" fillId="3" borderId="4" xfId="0" applyFill="1" applyBorder="1"/>
    <xf numFmtId="0" fontId="0" fillId="3" borderId="0" xfId="0" applyFill="1" applyBorder="1"/>
    <xf numFmtId="9" fontId="0" fillId="3" borderId="0" xfId="1" applyFont="1" applyFill="1" applyBorder="1"/>
    <xf numFmtId="0" fontId="0" fillId="3" borderId="5" xfId="0" applyFill="1" applyBorder="1"/>
    <xf numFmtId="9" fontId="2" fillId="3" borderId="0" xfId="0" applyNumberFormat="1" applyFont="1" applyFill="1" applyBorder="1"/>
    <xf numFmtId="9" fontId="2" fillId="3" borderId="8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ont="1"/>
    <xf numFmtId="0" fontId="0" fillId="0" borderId="0" xfId="0" applyFill="1"/>
    <xf numFmtId="10" fontId="0" fillId="0" borderId="0" xfId="0" applyNumberFormat="1" applyFill="1"/>
    <xf numFmtId="164" fontId="0" fillId="0" borderId="0" xfId="0" applyNumberFormat="1" applyFill="1"/>
    <xf numFmtId="164" fontId="0" fillId="0" borderId="0" xfId="1" applyNumberFormat="1" applyFont="1" applyFill="1"/>
    <xf numFmtId="165" fontId="0" fillId="0" borderId="0" xfId="0" applyNumberFormat="1" applyFill="1"/>
    <xf numFmtId="2" fontId="0" fillId="0" borderId="0" xfId="0" applyNumberFormat="1" applyFill="1"/>
    <xf numFmtId="0" fontId="2" fillId="0" borderId="0" xfId="0" applyFont="1" applyFill="1" applyBorder="1"/>
    <xf numFmtId="9" fontId="0" fillId="0" borderId="0" xfId="1" applyFont="1" applyFill="1" applyBorder="1"/>
    <xf numFmtId="9" fontId="2" fillId="0" borderId="0" xfId="0" applyNumberFormat="1" applyFont="1" applyFill="1" applyBorder="1"/>
    <xf numFmtId="0" fontId="2" fillId="0" borderId="11" xfId="0" applyFont="1" applyFill="1" applyBorder="1"/>
    <xf numFmtId="0" fontId="2" fillId="3" borderId="12" xfId="0" applyFont="1" applyFill="1" applyBorder="1"/>
    <xf numFmtId="0" fontId="0" fillId="0" borderId="11" xfId="0" applyFill="1" applyBorder="1"/>
    <xf numFmtId="9" fontId="0" fillId="3" borderId="12" xfId="1" applyFont="1" applyFill="1" applyBorder="1"/>
    <xf numFmtId="0" fontId="0" fillId="3" borderId="12" xfId="0" applyFill="1" applyBorder="1"/>
    <xf numFmtId="9" fontId="2" fillId="3" borderId="12" xfId="0" applyNumberFormat="1" applyFont="1" applyFill="1" applyBorder="1"/>
    <xf numFmtId="0" fontId="2" fillId="0" borderId="13" xfId="0" applyFont="1" applyFill="1" applyBorder="1"/>
    <xf numFmtId="0" fontId="2" fillId="0" borderId="20" xfId="0" applyFont="1" applyFill="1" applyBorder="1"/>
    <xf numFmtId="9" fontId="2" fillId="0" borderId="20" xfId="1" applyFont="1" applyFill="1" applyBorder="1"/>
    <xf numFmtId="0" fontId="2" fillId="3" borderId="15" xfId="0" applyFont="1" applyFill="1" applyBorder="1"/>
    <xf numFmtId="0" fontId="2" fillId="3" borderId="20" xfId="0" applyFont="1" applyFill="1" applyBorder="1"/>
    <xf numFmtId="9" fontId="2" fillId="3" borderId="20" xfId="1" applyFont="1" applyFill="1" applyBorder="1"/>
    <xf numFmtId="9" fontId="2" fillId="3" borderId="20" xfId="0" applyNumberFormat="1" applyFont="1" applyFill="1" applyBorder="1"/>
    <xf numFmtId="9" fontId="2" fillId="3" borderId="16" xfId="1" applyFont="1" applyFill="1" applyBorder="1"/>
    <xf numFmtId="0" fontId="2" fillId="0" borderId="20" xfId="0" applyFont="1" applyBorder="1"/>
    <xf numFmtId="9" fontId="2" fillId="0" borderId="20" xfId="1" applyFont="1" applyBorder="1"/>
    <xf numFmtId="0" fontId="0" fillId="0" borderId="21" xfId="0" applyBorder="1" applyAlignment="1"/>
    <xf numFmtId="0" fontId="2" fillId="0" borderId="22" xfId="0" applyFont="1" applyBorder="1" applyAlignment="1"/>
    <xf numFmtId="2" fontId="2" fillId="3" borderId="0" xfId="0" applyNumberFormat="1" applyFont="1" applyFill="1" applyBorder="1"/>
    <xf numFmtId="2" fontId="2" fillId="3" borderId="12" xfId="0" applyNumberFormat="1" applyFont="1" applyFill="1" applyBorder="1"/>
    <xf numFmtId="2" fontId="2" fillId="3" borderId="16" xfId="0" applyNumberFormat="1" applyFont="1" applyFill="1" applyBorder="1"/>
    <xf numFmtId="9" fontId="2" fillId="3" borderId="5" xfId="1" applyFont="1" applyFill="1" applyBorder="1"/>
    <xf numFmtId="0" fontId="2" fillId="3" borderId="23" xfId="0" applyFont="1" applyFill="1" applyBorder="1" applyAlignment="1"/>
    <xf numFmtId="9" fontId="2" fillId="3" borderId="12" xfId="1" applyFont="1" applyFill="1" applyBorder="1"/>
    <xf numFmtId="166" fontId="0" fillId="0" borderId="0" xfId="0" applyNumberFormat="1"/>
    <xf numFmtId="0" fontId="0" fillId="0" borderId="16" xfId="0" applyBorder="1"/>
    <xf numFmtId="9" fontId="0" fillId="0" borderId="20" xfId="0" applyNumberFormat="1" applyBorder="1"/>
    <xf numFmtId="1" fontId="0" fillId="0" borderId="20" xfId="0" applyNumberFormat="1" applyBorder="1"/>
    <xf numFmtId="0" fontId="0" fillId="0" borderId="20" xfId="0" applyBorder="1"/>
    <xf numFmtId="14" fontId="0" fillId="0" borderId="0" xfId="0" applyNumberFormat="1" applyBorder="1"/>
    <xf numFmtId="9" fontId="0" fillId="0" borderId="0" xfId="0" applyNumberFormat="1" applyFill="1" applyBorder="1"/>
    <xf numFmtId="1" fontId="0" fillId="0" borderId="0" xfId="0" applyNumberFormat="1" applyFill="1" applyBorder="1"/>
    <xf numFmtId="166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/>
    <xf numFmtId="166" fontId="0" fillId="0" borderId="0" xfId="0" applyNumberFormat="1" applyBorder="1"/>
    <xf numFmtId="166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4" fontId="0" fillId="3" borderId="0" xfId="0" applyNumberFormat="1" applyFill="1" applyBorder="1"/>
    <xf numFmtId="14" fontId="0" fillId="0" borderId="11" xfId="0" applyNumberFormat="1" applyBorder="1"/>
    <xf numFmtId="0" fontId="0" fillId="0" borderId="13" xfId="0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9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7" xfId="0" applyBorder="1"/>
    <xf numFmtId="166" fontId="0" fillId="0" borderId="7" xfId="0" applyNumberFormat="1" applyBorder="1"/>
    <xf numFmtId="166" fontId="0" fillId="0" borderId="12" xfId="0" applyNumberFormat="1" applyBorder="1"/>
    <xf numFmtId="166" fontId="0" fillId="0" borderId="20" xfId="0" applyNumberFormat="1" applyBorder="1"/>
    <xf numFmtId="164" fontId="0" fillId="0" borderId="0" xfId="0" applyNumberFormat="1"/>
    <xf numFmtId="0" fontId="0" fillId="0" borderId="0" xfId="0" applyFont="1" applyFill="1" applyBorder="1"/>
    <xf numFmtId="166" fontId="2" fillId="0" borderId="22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0" fillId="0" borderId="5" xfId="0" applyBorder="1"/>
    <xf numFmtId="2" fontId="0" fillId="0" borderId="0" xfId="0" applyNumberFormat="1" applyFill="1" applyAlignment="1">
      <alignment wrapText="1"/>
    </xf>
    <xf numFmtId="166" fontId="0" fillId="0" borderId="0" xfId="0" applyNumberFormat="1" applyFill="1"/>
    <xf numFmtId="166" fontId="0" fillId="0" borderId="0" xfId="0" applyNumberFormat="1" applyFill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ill="1" applyAlignment="1"/>
    <xf numFmtId="0" fontId="0" fillId="3" borderId="11" xfId="0" applyFill="1" applyBorder="1"/>
    <xf numFmtId="0" fontId="0" fillId="3" borderId="13" xfId="0" applyFill="1" applyBorder="1"/>
    <xf numFmtId="0" fontId="0" fillId="3" borderId="20" xfId="0" applyFill="1" applyBorder="1"/>
    <xf numFmtId="166" fontId="0" fillId="3" borderId="20" xfId="0" applyNumberFormat="1" applyFill="1" applyBorder="1"/>
    <xf numFmtId="0" fontId="0" fillId="3" borderId="20" xfId="0" applyFill="1" applyBorder="1" applyAlignment="1">
      <alignment horizontal="right"/>
    </xf>
    <xf numFmtId="14" fontId="0" fillId="3" borderId="20" xfId="0" applyNumberFormat="1" applyFill="1" applyBorder="1"/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 wrapText="1"/>
    </xf>
    <xf numFmtId="0" fontId="0" fillId="0" borderId="4" xfId="0" applyBorder="1" applyAlignment="1"/>
    <xf numFmtId="0" fontId="2" fillId="0" borderId="0" xfId="0" applyFont="1" applyBorder="1" applyAlignment="1"/>
    <xf numFmtId="0" fontId="2" fillId="3" borderId="5" xfId="0" applyFont="1" applyFill="1" applyBorder="1" applyAlignment="1"/>
    <xf numFmtId="2" fontId="2" fillId="3" borderId="20" xfId="0" applyNumberFormat="1" applyFont="1" applyFill="1" applyBorder="1"/>
    <xf numFmtId="2" fontId="0" fillId="0" borderId="0" xfId="0" applyNumberFormat="1" applyBorder="1"/>
    <xf numFmtId="2" fontId="0" fillId="0" borderId="7" xfId="0" applyNumberFormat="1" applyBorder="1"/>
    <xf numFmtId="164" fontId="0" fillId="0" borderId="7" xfId="0" applyNumberFormat="1" applyBorder="1"/>
    <xf numFmtId="164" fontId="0" fillId="0" borderId="5" xfId="1" applyNumberFormat="1" applyFont="1" applyBorder="1"/>
    <xf numFmtId="164" fontId="0" fillId="0" borderId="8" xfId="1" applyNumberFormat="1" applyFont="1" applyBorder="1"/>
    <xf numFmtId="0" fontId="0" fillId="0" borderId="7" xfId="0" applyFill="1" applyBorder="1"/>
    <xf numFmtId="166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4" fontId="0" fillId="0" borderId="0" xfId="0" applyNumberFormat="1" applyFont="1" applyBorder="1"/>
    <xf numFmtId="164" fontId="0" fillId="0" borderId="0" xfId="0" applyNumberFormat="1" applyFont="1" applyFill="1" applyBorder="1"/>
    <xf numFmtId="164" fontId="0" fillId="0" borderId="0" xfId="0" applyNumberFormat="1" applyFont="1" applyFill="1"/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1" xfId="0" applyBorder="1" applyAlignment="1">
      <alignment horizontal="right"/>
    </xf>
    <xf numFmtId="10" fontId="0" fillId="0" borderId="12" xfId="0" applyNumberFormat="1" applyBorder="1"/>
    <xf numFmtId="10" fontId="0" fillId="0" borderId="12" xfId="0" applyNumberFormat="1" applyFont="1" applyBorder="1"/>
    <xf numFmtId="0" fontId="0" fillId="0" borderId="24" xfId="0" applyBorder="1" applyAlignment="1">
      <alignment horizontal="right"/>
    </xf>
    <xf numFmtId="9" fontId="0" fillId="0" borderId="25" xfId="1" applyFont="1" applyBorder="1"/>
    <xf numFmtId="9" fontId="1" fillId="0" borderId="12" xfId="1" applyFont="1" applyFill="1" applyBorder="1"/>
    <xf numFmtId="10" fontId="0" fillId="0" borderId="12" xfId="0" applyNumberFormat="1" applyFont="1" applyFill="1" applyBorder="1"/>
    <xf numFmtId="0" fontId="2" fillId="0" borderId="25" xfId="0" applyFont="1" applyBorder="1"/>
    <xf numFmtId="0" fontId="0" fillId="0" borderId="12" xfId="0" applyNumberFormat="1" applyFont="1" applyFill="1" applyBorder="1"/>
    <xf numFmtId="9" fontId="0" fillId="0" borderId="12" xfId="1" applyFont="1" applyFill="1" applyBorder="1"/>
    <xf numFmtId="0" fontId="0" fillId="0" borderId="25" xfId="0" applyBorder="1"/>
    <xf numFmtId="0" fontId="0" fillId="0" borderId="13" xfId="0" applyBorder="1" applyAlignment="1">
      <alignment horizontal="right"/>
    </xf>
    <xf numFmtId="2" fontId="0" fillId="0" borderId="20" xfId="0" applyNumberFormat="1" applyBorder="1"/>
    <xf numFmtId="164" fontId="0" fillId="0" borderId="14" xfId="1" applyNumberFormat="1" applyFont="1" applyBorder="1"/>
    <xf numFmtId="0" fontId="2" fillId="0" borderId="16" xfId="0" applyFont="1" applyBorder="1"/>
    <xf numFmtId="0" fontId="0" fillId="0" borderId="12" xfId="0" applyNumberFormat="1" applyBorder="1"/>
    <xf numFmtId="10" fontId="0" fillId="0" borderId="12" xfId="0" applyNumberFormat="1" applyFill="1" applyBorder="1"/>
    <xf numFmtId="0" fontId="0" fillId="0" borderId="0" xfId="0" applyFont="1" applyBorder="1"/>
    <xf numFmtId="0" fontId="0" fillId="0" borderId="12" xfId="0" applyFont="1" applyBorder="1"/>
    <xf numFmtId="0" fontId="0" fillId="0" borderId="12" xfId="0" applyFont="1" applyFill="1" applyBorder="1"/>
    <xf numFmtId="0" fontId="0" fillId="0" borderId="20" xfId="0" applyFont="1" applyBorder="1"/>
    <xf numFmtId="0" fontId="0" fillId="0" borderId="16" xfId="0" applyFont="1" applyBorder="1"/>
    <xf numFmtId="9" fontId="1" fillId="0" borderId="0" xfId="1" applyFont="1"/>
    <xf numFmtId="0" fontId="0" fillId="0" borderId="0" xfId="0" applyFont="1" applyFill="1"/>
    <xf numFmtId="165" fontId="0" fillId="0" borderId="0" xfId="0" applyNumberFormat="1" applyFont="1" applyFill="1"/>
    <xf numFmtId="10" fontId="0" fillId="0" borderId="0" xfId="0" applyNumberFormat="1" applyFont="1" applyFill="1"/>
    <xf numFmtId="0" fontId="0" fillId="0" borderId="12" xfId="0" applyNumberFormat="1" applyFont="1" applyBorder="1"/>
    <xf numFmtId="16" fontId="0" fillId="0" borderId="11" xfId="0" applyNumberFormat="1" applyBorder="1"/>
    <xf numFmtId="0" fontId="2" fillId="3" borderId="11" xfId="0" applyFont="1" applyFill="1" applyBorder="1"/>
    <xf numFmtId="0" fontId="2" fillId="3" borderId="13" xfId="0" applyFont="1" applyFill="1" applyBorder="1"/>
    <xf numFmtId="0" fontId="0" fillId="3" borderId="16" xfId="0" applyFill="1" applyBorder="1"/>
    <xf numFmtId="0" fontId="0" fillId="0" borderId="12" xfId="0" applyBorder="1" applyAlignment="1">
      <alignment horizontal="right"/>
    </xf>
    <xf numFmtId="14" fontId="0" fillId="0" borderId="13" xfId="0" applyNumberFormat="1" applyBorder="1"/>
    <xf numFmtId="0" fontId="2" fillId="0" borderId="22" xfId="0" applyFont="1" applyBorder="1" applyAlignment="1">
      <alignment horizontal="center" wrapText="1"/>
    </xf>
    <xf numFmtId="1" fontId="0" fillId="0" borderId="20" xfId="0" applyNumberFormat="1" applyFill="1" applyBorder="1"/>
    <xf numFmtId="9" fontId="0" fillId="0" borderId="20" xfId="0" applyNumberFormat="1" applyFill="1" applyBorder="1"/>
    <xf numFmtId="167" fontId="2" fillId="0" borderId="0" xfId="0" applyNumberFormat="1" applyFont="1" applyBorder="1" applyAlignment="1">
      <alignment wrapText="1"/>
    </xf>
    <xf numFmtId="167" fontId="0" fillId="0" borderId="0" xfId="0" applyNumberFormat="1" applyBorder="1"/>
    <xf numFmtId="167" fontId="0" fillId="0" borderId="7" xfId="0" applyNumberFormat="1" applyBorder="1"/>
    <xf numFmtId="167" fontId="0" fillId="0" borderId="20" xfId="0" applyNumberFormat="1" applyBorder="1"/>
    <xf numFmtId="167" fontId="0" fillId="0" borderId="0" xfId="0" applyNumberFormat="1"/>
    <xf numFmtId="167" fontId="0" fillId="0" borderId="0" xfId="0" applyNumberFormat="1" applyFill="1"/>
    <xf numFmtId="167" fontId="0" fillId="0" borderId="0" xfId="0" applyNumberFormat="1" applyFill="1" applyBorder="1"/>
    <xf numFmtId="167" fontId="0" fillId="0" borderId="7" xfId="0" applyNumberFormat="1" applyFill="1" applyBorder="1"/>
    <xf numFmtId="2" fontId="0" fillId="0" borderId="0" xfId="0" applyNumberFormat="1" applyBorder="1" applyAlignment="1">
      <alignment horizontal="right"/>
    </xf>
    <xf numFmtId="2" fontId="0" fillId="0" borderId="0" xfId="0" applyNumberFormat="1" applyFill="1" applyBorder="1"/>
    <xf numFmtId="168" fontId="2" fillId="0" borderId="0" xfId="0" applyNumberFormat="1" applyFont="1" applyBorder="1" applyAlignment="1">
      <alignment wrapText="1"/>
    </xf>
    <xf numFmtId="168" fontId="0" fillId="0" borderId="0" xfId="0" applyNumberFormat="1" applyBorder="1"/>
    <xf numFmtId="168" fontId="0" fillId="0" borderId="0" xfId="0" applyNumberFormat="1" applyBorder="1" applyAlignment="1">
      <alignment horizontal="right"/>
    </xf>
    <xf numFmtId="168" fontId="2" fillId="3" borderId="0" xfId="0" applyNumberFormat="1" applyFont="1" applyFill="1" applyBorder="1"/>
    <xf numFmtId="168" fontId="2" fillId="3" borderId="20" xfId="0" applyNumberFormat="1" applyFont="1" applyFill="1" applyBorder="1"/>
    <xf numFmtId="168" fontId="0" fillId="0" borderId="0" xfId="0" applyNumberFormat="1"/>
    <xf numFmtId="1" fontId="2" fillId="0" borderId="0" xfId="0" applyNumberFormat="1" applyFont="1" applyBorder="1" applyAlignment="1">
      <alignment wrapText="1"/>
    </xf>
    <xf numFmtId="1" fontId="0" fillId="0" borderId="0" xfId="0" applyNumberFormat="1" applyBorder="1" applyAlignment="1">
      <alignment horizontal="right"/>
    </xf>
    <xf numFmtId="1" fontId="2" fillId="3" borderId="0" xfId="0" applyNumberFormat="1" applyFont="1" applyFill="1" applyBorder="1"/>
    <xf numFmtId="1" fontId="2" fillId="3" borderId="20" xfId="0" applyNumberFormat="1" applyFont="1" applyFill="1" applyBorder="1"/>
    <xf numFmtId="1" fontId="0" fillId="0" borderId="0" xfId="0" applyNumberFormat="1"/>
    <xf numFmtId="1" fontId="2" fillId="0" borderId="12" xfId="0" applyNumberFormat="1" applyFont="1" applyBorder="1" applyAlignment="1">
      <alignment wrapText="1"/>
    </xf>
    <xf numFmtId="1" fontId="0" fillId="0" borderId="12" xfId="0" applyNumberFormat="1" applyBorder="1" applyAlignment="1">
      <alignment horizontal="right"/>
    </xf>
    <xf numFmtId="1" fontId="2" fillId="3" borderId="12" xfId="0" applyNumberFormat="1" applyFont="1" applyFill="1" applyBorder="1"/>
    <xf numFmtId="1" fontId="0" fillId="0" borderId="12" xfId="0" applyNumberFormat="1" applyBorder="1"/>
    <xf numFmtId="1" fontId="2" fillId="3" borderId="16" xfId="0" applyNumberFormat="1" applyFont="1" applyFill="1" applyBorder="1"/>
    <xf numFmtId="10" fontId="0" fillId="0" borderId="0" xfId="0" applyNumberFormat="1"/>
    <xf numFmtId="0" fontId="0" fillId="0" borderId="0" xfId="0" applyNumberFormat="1"/>
    <xf numFmtId="0" fontId="0" fillId="0" borderId="0" xfId="0" applyFill="1" applyBorder="1" applyAlignment="1">
      <alignment horizontal="left"/>
    </xf>
    <xf numFmtId="10" fontId="0" fillId="0" borderId="0" xfId="1" applyNumberFormat="1" applyFont="1"/>
    <xf numFmtId="0" fontId="2" fillId="0" borderId="0" xfId="0" applyFont="1"/>
    <xf numFmtId="0" fontId="0" fillId="0" borderId="12" xfId="0" applyFill="1" applyBorder="1"/>
    <xf numFmtId="0" fontId="0" fillId="0" borderId="25" xfId="0" applyFill="1" applyBorder="1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168" fontId="0" fillId="0" borderId="0" xfId="0" applyNumberFormat="1" applyFill="1" applyBorder="1"/>
    <xf numFmtId="2" fontId="2" fillId="0" borderId="12" xfId="0" applyNumberFormat="1" applyFont="1" applyBorder="1" applyAlignment="1">
      <alignment wrapText="1"/>
    </xf>
    <xf numFmtId="2" fontId="0" fillId="0" borderId="12" xfId="0" applyNumberFormat="1" applyBorder="1"/>
    <xf numFmtId="2" fontId="2" fillId="3" borderId="11" xfId="0" applyNumberFormat="1" applyFont="1" applyFill="1" applyBorder="1"/>
    <xf numFmtId="16" fontId="0" fillId="3" borderId="0" xfId="0" applyNumberFormat="1" applyFill="1" applyBorder="1"/>
    <xf numFmtId="2" fontId="2" fillId="0" borderId="0" xfId="0" applyNumberFormat="1" applyFont="1" applyFill="1" applyBorder="1"/>
    <xf numFmtId="168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2" fillId="0" borderId="20" xfId="0" applyNumberFormat="1" applyFont="1" applyBorder="1"/>
    <xf numFmtId="2" fontId="0" fillId="3" borderId="12" xfId="0" applyNumberFormat="1" applyFill="1" applyBorder="1"/>
    <xf numFmtId="2" fontId="0" fillId="3" borderId="0" xfId="0" applyNumberFormat="1" applyFill="1" applyBorder="1"/>
    <xf numFmtId="2" fontId="2" fillId="0" borderId="20" xfId="0" applyNumberFormat="1" applyFont="1" applyFill="1" applyBorder="1"/>
    <xf numFmtId="0" fontId="0" fillId="0" borderId="20" xfId="0" applyFill="1" applyBorder="1"/>
    <xf numFmtId="2" fontId="0" fillId="0" borderId="0" xfId="0" applyNumberForma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10" fontId="0" fillId="0" borderId="0" xfId="1" applyNumberFormat="1" applyFont="1" applyFill="1"/>
    <xf numFmtId="9" fontId="0" fillId="0" borderId="0" xfId="1" applyFont="1" applyFill="1"/>
    <xf numFmtId="166" fontId="0" fillId="0" borderId="0" xfId="1" applyNumberFormat="1" applyFont="1" applyFill="1"/>
    <xf numFmtId="16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8" fillId="0" borderId="0" xfId="2"/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'Lipids NR 0.2ppt'!$O$4</c:f>
              <c:strCache>
                <c:ptCount val="1"/>
                <c:pt idx="0">
                  <c:v>absorbance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430539735992121"/>
                  <c:y val="-5.0281053924053486E-2"/>
                </c:manualLayout>
              </c:layout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'Lipids NR 0.2ppt'!$L$5:$L$19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'Lipids NR 0.2ppt'!$O$5:$O$19</c:f>
              <c:numCache>
                <c:formatCode>General</c:formatCode>
                <c:ptCount val="15"/>
                <c:pt idx="0">
                  <c:v>1.4610000000000001</c:v>
                </c:pt>
                <c:pt idx="1">
                  <c:v>0.86599999999999999</c:v>
                </c:pt>
                <c:pt idx="2">
                  <c:v>0.54449999999999998</c:v>
                </c:pt>
                <c:pt idx="3">
                  <c:v>0.25950000000000001</c:v>
                </c:pt>
                <c:pt idx="4">
                  <c:v>7.0000000000000007E-2</c:v>
                </c:pt>
                <c:pt idx="7">
                  <c:v>0.44650000000000001</c:v>
                </c:pt>
                <c:pt idx="8">
                  <c:v>0.247</c:v>
                </c:pt>
                <c:pt idx="9">
                  <c:v>7.7499999999999999E-2</c:v>
                </c:pt>
                <c:pt idx="12">
                  <c:v>0.38750000000000001</c:v>
                </c:pt>
                <c:pt idx="13">
                  <c:v>0.20200000000000001</c:v>
                </c:pt>
                <c:pt idx="14">
                  <c:v>6.3E-2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0-4EE0-8B07-E81E7415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86896"/>
        <c:axId val="1267187440"/>
      </c:scatterChart>
      <c:valAx>
        <c:axId val="126718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87440"/>
        <c:crosses val="autoZero"/>
        <c:crossBetween val="midCat"/>
      </c:valAx>
      <c:valAx>
        <c:axId val="12671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86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'Lipids NR 6.0ppt'!$O$4</c:f>
              <c:strCache>
                <c:ptCount val="1"/>
                <c:pt idx="0">
                  <c:v>absorbance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'Lipids NR 6.0ppt'!$L$5:$L$19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'Lipids NR 6.0ppt'!$O$5:$O$19</c:f>
              <c:numCache>
                <c:formatCode>General</c:formatCode>
                <c:ptCount val="15"/>
                <c:pt idx="0">
                  <c:v>1.4750000000000001</c:v>
                </c:pt>
                <c:pt idx="1">
                  <c:v>0.6845</c:v>
                </c:pt>
                <c:pt idx="2">
                  <c:v>0.38949999999999996</c:v>
                </c:pt>
                <c:pt idx="3">
                  <c:v>0.23449999999999999</c:v>
                </c:pt>
                <c:pt idx="4">
                  <c:v>6.5500000000000003E-2</c:v>
                </c:pt>
                <c:pt idx="6">
                  <c:v>0.65</c:v>
                </c:pt>
                <c:pt idx="7">
                  <c:v>0.36</c:v>
                </c:pt>
                <c:pt idx="8">
                  <c:v>0.24149999999999999</c:v>
                </c:pt>
                <c:pt idx="9">
                  <c:v>6.7000000000000004E-2</c:v>
                </c:pt>
                <c:pt idx="10">
                  <c:v>1.4944999999999999</c:v>
                </c:pt>
                <c:pt idx="11">
                  <c:v>0.69</c:v>
                </c:pt>
                <c:pt idx="12">
                  <c:v>0.39349999999999996</c:v>
                </c:pt>
                <c:pt idx="13">
                  <c:v>0.23549999999999999</c:v>
                </c:pt>
                <c:pt idx="14">
                  <c:v>6.2E-2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0-4EE0-8B07-E81E7415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86352"/>
        <c:axId val="1267192880"/>
      </c:scatterChart>
      <c:valAx>
        <c:axId val="126718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92880"/>
        <c:crosses val="autoZero"/>
        <c:crossBetween val="midCat"/>
      </c:valAx>
      <c:valAx>
        <c:axId val="12671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86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'Lipids EC 0.2ppt'!$O$4</c:f>
              <c:strCache>
                <c:ptCount val="1"/>
                <c:pt idx="0">
                  <c:v>absorbance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'Lipids EC 0.2ppt'!$L$5:$L$19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'Lipids EC 0.2ppt'!$O$5:$O$19</c:f>
              <c:numCache>
                <c:formatCode>General</c:formatCode>
                <c:ptCount val="15"/>
                <c:pt idx="0">
                  <c:v>2.762</c:v>
                </c:pt>
                <c:pt idx="2">
                  <c:v>0.84050000000000002</c:v>
                </c:pt>
                <c:pt idx="3">
                  <c:v>0.3775</c:v>
                </c:pt>
                <c:pt idx="4">
                  <c:v>9.9000000000000005E-2</c:v>
                </c:pt>
                <c:pt idx="5">
                  <c:v>2.5225</c:v>
                </c:pt>
                <c:pt idx="6">
                  <c:v>1.2290000000000001</c:v>
                </c:pt>
                <c:pt idx="7">
                  <c:v>0.66849999999999998</c:v>
                </c:pt>
                <c:pt idx="8">
                  <c:v>0.45699999999999996</c:v>
                </c:pt>
                <c:pt idx="9">
                  <c:v>8.6499999999999994E-2</c:v>
                </c:pt>
                <c:pt idx="11">
                  <c:v>1.5840000000000001</c:v>
                </c:pt>
                <c:pt idx="12">
                  <c:v>0.71050000000000002</c:v>
                </c:pt>
                <c:pt idx="13">
                  <c:v>0.43300000000000005</c:v>
                </c:pt>
                <c:pt idx="14">
                  <c:v>9.2999999999999999E-2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0-4EE0-8B07-E81E7415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87984"/>
        <c:axId val="1267190704"/>
      </c:scatterChart>
      <c:valAx>
        <c:axId val="126718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90704"/>
        <c:crosses val="autoZero"/>
        <c:crossBetween val="midCat"/>
      </c:valAx>
      <c:valAx>
        <c:axId val="12671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87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'Lipids EC 0.2ppt'!$O$4</c:f>
              <c:strCache>
                <c:ptCount val="1"/>
                <c:pt idx="0">
                  <c:v>absorbance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'Lipids EC 0.2ppt'!$L$26:$L$33</c:f>
              <c:numCache>
                <c:formatCode>General</c:formatCode>
                <c:ptCount val="8"/>
                <c:pt idx="0">
                  <c:v>50</c:v>
                </c:pt>
                <c:pt idx="1">
                  <c:v>10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100</c:v>
                </c:pt>
                <c:pt idx="6">
                  <c:v>50</c:v>
                </c:pt>
                <c:pt idx="7">
                  <c:v>10</c:v>
                </c:pt>
              </c:numCache>
            </c:numRef>
          </c:xVal>
          <c:yVal>
            <c:numRef>
              <c:f>'Lipids EC 0.2ppt'!$O$26:$O$33</c:f>
              <c:numCache>
                <c:formatCode>General</c:formatCode>
                <c:ptCount val="8"/>
                <c:pt idx="0">
                  <c:v>0.3775</c:v>
                </c:pt>
                <c:pt idx="1">
                  <c:v>9.9000000000000005E-2</c:v>
                </c:pt>
                <c:pt idx="2">
                  <c:v>0.66849999999999998</c:v>
                </c:pt>
                <c:pt idx="3">
                  <c:v>0.45699999999999996</c:v>
                </c:pt>
                <c:pt idx="4">
                  <c:v>8.6499999999999994E-2</c:v>
                </c:pt>
                <c:pt idx="5">
                  <c:v>0.71050000000000002</c:v>
                </c:pt>
                <c:pt idx="6">
                  <c:v>0.43300000000000005</c:v>
                </c:pt>
                <c:pt idx="7">
                  <c:v>9.2999999999999999E-2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0-4EE0-8B07-E81E7415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325888"/>
        <c:axId val="1359325344"/>
      </c:scatterChart>
      <c:valAx>
        <c:axId val="135932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25344"/>
        <c:crosses val="autoZero"/>
        <c:crossBetween val="midCat"/>
      </c:valAx>
      <c:valAx>
        <c:axId val="13593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2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#,##0.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'Lipids EC 0.2ppt'!$L$43:$L$57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'Lipids EC 0.2ppt'!$O$43:$O$57</c:f>
              <c:numCache>
                <c:formatCode>General</c:formatCode>
                <c:ptCount val="15"/>
                <c:pt idx="0">
                  <c:v>1.7135</c:v>
                </c:pt>
                <c:pt idx="1">
                  <c:v>0.98649999999999993</c:v>
                </c:pt>
                <c:pt idx="2">
                  <c:v>0.67149999999999999</c:v>
                </c:pt>
                <c:pt idx="3">
                  <c:v>0.28300000000000003</c:v>
                </c:pt>
                <c:pt idx="4">
                  <c:v>5.5E-2</c:v>
                </c:pt>
                <c:pt idx="5">
                  <c:v>1.6385000000000001</c:v>
                </c:pt>
                <c:pt idx="6">
                  <c:v>0.90749999999999997</c:v>
                </c:pt>
                <c:pt idx="7">
                  <c:v>0.58650000000000002</c:v>
                </c:pt>
                <c:pt idx="8">
                  <c:v>0.2445</c:v>
                </c:pt>
                <c:pt idx="9">
                  <c:v>5.0500000000000003E-2</c:v>
                </c:pt>
                <c:pt idx="11">
                  <c:v>0.97950000000000004</c:v>
                </c:pt>
                <c:pt idx="12">
                  <c:v>0.5495000000000001</c:v>
                </c:pt>
                <c:pt idx="13">
                  <c:v>0.26500000000000001</c:v>
                </c:pt>
                <c:pt idx="14">
                  <c:v>5.2999999999999999E-2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0-4EE0-8B07-E81E74152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323168"/>
        <c:axId val="1359326432"/>
      </c:scatterChart>
      <c:valAx>
        <c:axId val="135932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26432"/>
        <c:crosses val="autoZero"/>
        <c:crossBetween val="midCat"/>
      </c:valAx>
      <c:valAx>
        <c:axId val="13593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2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F1A dw d7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'Dry Mass_NR'!$H$63:$H$66</c:f>
                <c:numCache>
                  <c:formatCode>General</c:formatCode>
                  <c:ptCount val="4"/>
                  <c:pt idx="0">
                    <c:v>3.7263824181000437E-4</c:v>
                  </c:pt>
                  <c:pt idx="1">
                    <c:v>3.5450873676744592E-3</c:v>
                  </c:pt>
                  <c:pt idx="2">
                    <c:v>2.4921684741813321E-3</c:v>
                  </c:pt>
                  <c:pt idx="3">
                    <c:v>3.2395541531373912E-3</c:v>
                  </c:pt>
                </c:numCache>
              </c:numRef>
            </c:plus>
            <c:minus>
              <c:numRef>
                <c:f>'Dry Mass_NR'!$H$63:$H$66</c:f>
                <c:numCache>
                  <c:formatCode>General</c:formatCode>
                  <c:ptCount val="4"/>
                  <c:pt idx="0">
                    <c:v>3.7263824181000437E-4</c:v>
                  </c:pt>
                  <c:pt idx="1">
                    <c:v>3.5450873676744592E-3</c:v>
                  </c:pt>
                  <c:pt idx="2">
                    <c:v>2.4921684741813321E-3</c:v>
                  </c:pt>
                  <c:pt idx="3">
                    <c:v>3.2395541531373912E-3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'Dry Mass_NR'!$F$63:$F$66</c:f>
              <c:strCache>
                <c:ptCount val="4"/>
                <c:pt idx="0">
                  <c:v>NR 0.2</c:v>
                </c:pt>
                <c:pt idx="1">
                  <c:v>NR 6.0</c:v>
                </c:pt>
                <c:pt idx="2">
                  <c:v>PR 0.2</c:v>
                </c:pt>
                <c:pt idx="3">
                  <c:v>PR 6.0</c:v>
                </c:pt>
              </c:strCache>
            </c:strRef>
          </c:cat>
          <c:val>
            <c:numRef>
              <c:f>'Dry Mass_NR'!$G$63:$G$66</c:f>
              <c:numCache>
                <c:formatCode>0.0000</c:formatCode>
                <c:ptCount val="4"/>
                <c:pt idx="0">
                  <c:v>1.4584444444444481E-2</c:v>
                </c:pt>
                <c:pt idx="1">
                  <c:v>2.2480000000000031E-2</c:v>
                </c:pt>
                <c:pt idx="2" formatCode="General">
                  <c:v>2.2277777777777567E-2</c:v>
                </c:pt>
                <c:pt idx="3" formatCode="General">
                  <c:v>3.0259999999999981E-2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C-40B7-8532-CA4E8A48D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331328"/>
        <c:axId val="1359331872"/>
      </c:barChart>
      <c:catAx>
        <c:axId val="13593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31872"/>
        <c:crosses val="autoZero"/>
        <c:auto val="1"/>
        <c:lblAlgn val="ctr"/>
        <c:lblOffset val="100"/>
        <c:noMultiLvlLbl val="0"/>
      </c:catAx>
      <c:valAx>
        <c:axId val="13593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33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3</xdr:row>
      <xdr:rowOff>76200</xdr:rowOff>
    </xdr:from>
    <xdr:to>
      <xdr:col>23</xdr:col>
      <xdr:colOff>552450</xdr:colOff>
      <xdr:row>13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</xdr:row>
      <xdr:rowOff>104775</xdr:rowOff>
    </xdr:from>
    <xdr:to>
      <xdr:col>23</xdr:col>
      <xdr:colOff>476250</xdr:colOff>
      <xdr:row>13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3</xdr:row>
      <xdr:rowOff>142875</xdr:rowOff>
    </xdr:from>
    <xdr:to>
      <xdr:col>23</xdr:col>
      <xdr:colOff>581025</xdr:colOff>
      <xdr:row>14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342900</xdr:colOff>
      <xdr:row>24</xdr:row>
      <xdr:rowOff>142875</xdr:rowOff>
    </xdr:from>
    <xdr:to>
      <xdr:col>23</xdr:col>
      <xdr:colOff>581025</xdr:colOff>
      <xdr:row>35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342900</xdr:colOff>
      <xdr:row>41</xdr:row>
      <xdr:rowOff>142875</xdr:rowOff>
    </xdr:from>
    <xdr:to>
      <xdr:col>23</xdr:col>
      <xdr:colOff>581025</xdr:colOff>
      <xdr:row>52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57</xdr:row>
      <xdr:rowOff>14287</xdr:rowOff>
    </xdr:from>
    <xdr:to>
      <xdr:col>14</xdr:col>
      <xdr:colOff>219075</xdr:colOff>
      <xdr:row>71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16/j.scitotenv.2020.14194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topLeftCell="A4" workbookViewId="0">
      <selection activeCell="B12" sqref="B12"/>
    </sheetView>
  </sheetViews>
  <sheetFormatPr defaultRowHeight="15" x14ac:dyDescent="0.25"/>
  <cols>
    <col min="1" max="1" width="27.42578125" customWidth="1"/>
    <col min="2" max="2" width="9.140625" customWidth="1"/>
  </cols>
  <sheetData>
    <row r="1" spans="1:2" x14ac:dyDescent="0.25">
      <c r="A1" s="216" t="s">
        <v>182</v>
      </c>
      <c r="B1" s="217" t="s">
        <v>200</v>
      </c>
    </row>
    <row r="2" spans="1:2" x14ac:dyDescent="0.25">
      <c r="A2" s="216" t="s">
        <v>183</v>
      </c>
      <c r="B2" t="s">
        <v>186</v>
      </c>
    </row>
    <row r="3" spans="1:2" x14ac:dyDescent="0.25">
      <c r="A3" s="216" t="s">
        <v>184</v>
      </c>
      <c r="B3" t="s">
        <v>187</v>
      </c>
    </row>
    <row r="4" spans="1:2" x14ac:dyDescent="0.25">
      <c r="A4" s="216"/>
    </row>
    <row r="5" spans="1:2" x14ac:dyDescent="0.25">
      <c r="A5" s="216" t="s">
        <v>185</v>
      </c>
      <c r="B5" t="s">
        <v>202</v>
      </c>
    </row>
    <row r="6" spans="1:2" x14ac:dyDescent="0.25">
      <c r="A6" s="216" t="s">
        <v>188</v>
      </c>
      <c r="B6">
        <v>2020</v>
      </c>
    </row>
    <row r="7" spans="1:2" x14ac:dyDescent="0.25">
      <c r="A7" t="s">
        <v>189</v>
      </c>
      <c r="B7" t="s">
        <v>190</v>
      </c>
    </row>
    <row r="8" spans="1:2" x14ac:dyDescent="0.25">
      <c r="A8" t="s">
        <v>191</v>
      </c>
      <c r="B8" t="s">
        <v>201</v>
      </c>
    </row>
    <row r="9" spans="1:2" x14ac:dyDescent="0.25">
      <c r="A9" t="s">
        <v>192</v>
      </c>
      <c r="B9" t="s">
        <v>197</v>
      </c>
    </row>
    <row r="10" spans="1:2" x14ac:dyDescent="0.25">
      <c r="A10" t="s">
        <v>193</v>
      </c>
      <c r="B10" s="223" t="s">
        <v>194</v>
      </c>
    </row>
    <row r="11" spans="1:2" x14ac:dyDescent="0.25">
      <c r="A11" t="s">
        <v>195</v>
      </c>
      <c r="B11" t="s">
        <v>199</v>
      </c>
    </row>
    <row r="12" spans="1:2" x14ac:dyDescent="0.25">
      <c r="A12" t="s">
        <v>196</v>
      </c>
      <c r="B12" s="224" t="s">
        <v>198</v>
      </c>
    </row>
  </sheetData>
  <hyperlinks>
    <hyperlink ref="B12" r:id="rId1" xr:uid="{5BCC0F75-6620-419C-8371-E8055E9BDCA2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D66"/>
  <sheetViews>
    <sheetView workbookViewId="0">
      <selection activeCell="I41" sqref="I41"/>
    </sheetView>
  </sheetViews>
  <sheetFormatPr defaultRowHeight="15" x14ac:dyDescent="0.25"/>
  <cols>
    <col min="1" max="1" width="5.42578125" customWidth="1"/>
    <col min="2" max="2" width="5.85546875" customWidth="1"/>
    <col min="3" max="3" width="10.42578125" customWidth="1"/>
    <col min="4" max="4" width="7" customWidth="1"/>
    <col min="5" max="5" width="13" customWidth="1"/>
    <col min="6" max="6" width="7.5703125" customWidth="1"/>
    <col min="7" max="7" width="13.85546875" customWidth="1"/>
    <col min="8" max="8" width="13.85546875" style="64" customWidth="1"/>
    <col min="9" max="9" width="10.42578125" style="28" customWidth="1"/>
    <col min="10" max="10" width="12.42578125" customWidth="1"/>
    <col min="11" max="11" width="12.7109375" customWidth="1"/>
    <col min="12" max="12" width="14.28515625" customWidth="1"/>
    <col min="13" max="13" width="14.140625" customWidth="1"/>
    <col min="14" max="14" width="9.7109375" bestFit="1" customWidth="1"/>
    <col min="18" max="18" width="9.5703125" customWidth="1"/>
    <col min="23" max="23" width="10.140625" customWidth="1"/>
    <col min="25" max="25" width="12.85546875" customWidth="1"/>
    <col min="26" max="26" width="12.42578125" customWidth="1"/>
    <col min="27" max="27" width="9.7109375" bestFit="1" customWidth="1"/>
    <col min="28" max="28" width="14.140625" customWidth="1"/>
  </cols>
  <sheetData>
    <row r="1" spans="1:30" ht="15.75" thickBot="1" x14ac:dyDescent="0.3">
      <c r="A1" s="230" t="s">
        <v>81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9"/>
      <c r="M1" s="239"/>
      <c r="N1" s="239"/>
      <c r="O1" s="240"/>
      <c r="P1" s="231" t="s">
        <v>82</v>
      </c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2"/>
    </row>
    <row r="2" spans="1:30" ht="28.5" customHeight="1" x14ac:dyDescent="0.25">
      <c r="A2" s="92" t="s">
        <v>73</v>
      </c>
      <c r="B2" s="93" t="s">
        <v>72</v>
      </c>
      <c r="C2" s="93" t="s">
        <v>71</v>
      </c>
      <c r="D2" s="93" t="s">
        <v>0</v>
      </c>
      <c r="E2" s="93" t="s">
        <v>70</v>
      </c>
      <c r="F2" s="93" t="s">
        <v>69</v>
      </c>
      <c r="G2" s="93" t="s">
        <v>68</v>
      </c>
      <c r="H2" s="91" t="s">
        <v>67</v>
      </c>
      <c r="I2" s="93" t="s">
        <v>60</v>
      </c>
      <c r="J2" s="93" t="s">
        <v>66</v>
      </c>
      <c r="K2" s="93" t="s">
        <v>65</v>
      </c>
      <c r="L2" s="260" t="s">
        <v>64</v>
      </c>
      <c r="M2" s="261"/>
      <c r="N2" s="261"/>
      <c r="O2" s="262"/>
      <c r="P2" s="161" t="s">
        <v>73</v>
      </c>
      <c r="Q2" s="93" t="s">
        <v>72</v>
      </c>
      <c r="R2" s="93" t="s">
        <v>71</v>
      </c>
      <c r="S2" s="93" t="s">
        <v>0</v>
      </c>
      <c r="T2" s="93" t="s">
        <v>70</v>
      </c>
      <c r="U2" s="93" t="s">
        <v>69</v>
      </c>
      <c r="V2" s="93" t="s">
        <v>68</v>
      </c>
      <c r="W2" s="91" t="s">
        <v>67</v>
      </c>
      <c r="X2" s="93" t="s">
        <v>60</v>
      </c>
      <c r="Y2" s="93" t="s">
        <v>66</v>
      </c>
      <c r="Z2" s="93" t="s">
        <v>65</v>
      </c>
      <c r="AA2" s="260" t="s">
        <v>64</v>
      </c>
      <c r="AB2" s="261"/>
      <c r="AC2" s="261"/>
      <c r="AD2" s="262"/>
    </row>
    <row r="3" spans="1:30" x14ac:dyDescent="0.25">
      <c r="A3" s="14">
        <v>202</v>
      </c>
      <c r="B3" s="5" t="s">
        <v>50</v>
      </c>
      <c r="C3" s="5" t="s">
        <v>83</v>
      </c>
      <c r="D3" s="5">
        <v>1</v>
      </c>
      <c r="E3" s="5">
        <v>90.439899999999994</v>
      </c>
      <c r="F3" s="5">
        <v>7</v>
      </c>
      <c r="G3" s="5">
        <v>90.563699999999997</v>
      </c>
      <c r="H3" s="75">
        <f t="shared" ref="H3:H7" si="0">(G3-E3)/F3</f>
        <v>1.7685714285714686E-2</v>
      </c>
      <c r="I3" s="81" t="s">
        <v>45</v>
      </c>
      <c r="J3" s="69">
        <v>43476</v>
      </c>
      <c r="K3" s="69">
        <v>43616</v>
      </c>
      <c r="L3" s="12" t="s">
        <v>63</v>
      </c>
      <c r="M3" s="3" t="s">
        <v>62</v>
      </c>
      <c r="N3" s="3" t="s">
        <v>61</v>
      </c>
      <c r="O3" s="13" t="s">
        <v>60</v>
      </c>
      <c r="P3" s="5">
        <v>180</v>
      </c>
      <c r="Q3" s="90" t="s">
        <v>91</v>
      </c>
      <c r="R3" s="5" t="s">
        <v>83</v>
      </c>
      <c r="S3" s="5">
        <v>1</v>
      </c>
      <c r="T3" s="5">
        <v>102.4997</v>
      </c>
      <c r="U3" s="5">
        <v>7</v>
      </c>
      <c r="V3" s="10">
        <v>102.6322</v>
      </c>
      <c r="W3" s="75">
        <f t="shared" ref="W3:W5" si="1">(V3-T3)/U3</f>
        <v>1.8928571428570455E-2</v>
      </c>
      <c r="X3" s="81" t="s">
        <v>45</v>
      </c>
      <c r="Y3" s="74">
        <v>43493</v>
      </c>
      <c r="Z3" s="74">
        <v>43665</v>
      </c>
      <c r="AA3" s="12" t="s">
        <v>63</v>
      </c>
      <c r="AB3" s="3" t="s">
        <v>62</v>
      </c>
      <c r="AC3" s="3" t="s">
        <v>61</v>
      </c>
      <c r="AD3" s="13" t="s">
        <v>60</v>
      </c>
    </row>
    <row r="4" spans="1:30" x14ac:dyDescent="0.25">
      <c r="A4" s="14">
        <v>202</v>
      </c>
      <c r="B4" s="5" t="s">
        <v>49</v>
      </c>
      <c r="C4" s="5" t="s">
        <v>83</v>
      </c>
      <c r="D4" s="5">
        <v>2</v>
      </c>
      <c r="E4" s="5">
        <v>92.084400000000002</v>
      </c>
      <c r="F4" s="5">
        <v>7</v>
      </c>
      <c r="G4" s="5">
        <v>92.220699999999994</v>
      </c>
      <c r="H4" s="75">
        <f t="shared" si="0"/>
        <v>1.9471428571427345E-2</v>
      </c>
      <c r="I4" s="81" t="s">
        <v>45</v>
      </c>
      <c r="J4" s="69">
        <v>43476</v>
      </c>
      <c r="K4" s="69">
        <v>43616</v>
      </c>
      <c r="L4" s="79">
        <v>43476</v>
      </c>
      <c r="M4" s="71">
        <v>72</v>
      </c>
      <c r="N4" s="70">
        <v>0.3</v>
      </c>
      <c r="O4" s="15" t="s">
        <v>45</v>
      </c>
      <c r="P4" s="5">
        <v>108</v>
      </c>
      <c r="Q4" s="5" t="s">
        <v>92</v>
      </c>
      <c r="R4" s="5" t="s">
        <v>83</v>
      </c>
      <c r="S4" s="5">
        <v>2</v>
      </c>
      <c r="T4" s="5">
        <v>86.405000000000001</v>
      </c>
      <c r="U4" s="5">
        <v>7</v>
      </c>
      <c r="V4" s="10">
        <v>86.537199999999999</v>
      </c>
      <c r="W4" s="75">
        <f t="shared" si="1"/>
        <v>1.8885714285713919E-2</v>
      </c>
      <c r="X4" s="81" t="s">
        <v>45</v>
      </c>
      <c r="Y4" s="74">
        <v>43493</v>
      </c>
      <c r="Z4" s="74">
        <v>43665</v>
      </c>
      <c r="AA4" s="79">
        <v>43493</v>
      </c>
      <c r="AB4" s="82">
        <v>72</v>
      </c>
      <c r="AC4" s="83">
        <v>0.37</v>
      </c>
      <c r="AD4" s="15" t="s">
        <v>45</v>
      </c>
    </row>
    <row r="5" spans="1:30" x14ac:dyDescent="0.25">
      <c r="A5" s="14">
        <v>202</v>
      </c>
      <c r="B5" s="5" t="s">
        <v>48</v>
      </c>
      <c r="C5" s="5" t="s">
        <v>83</v>
      </c>
      <c r="D5" s="5">
        <v>3</v>
      </c>
      <c r="E5" s="5">
        <v>92.627399999999994</v>
      </c>
      <c r="F5" s="5">
        <v>7</v>
      </c>
      <c r="G5" s="5">
        <v>92.770300000000006</v>
      </c>
      <c r="H5" s="75">
        <f t="shared" si="0"/>
        <v>2.0414285714287366E-2</v>
      </c>
      <c r="I5" s="81" t="s">
        <v>45</v>
      </c>
      <c r="J5" s="69">
        <v>43476</v>
      </c>
      <c r="K5" s="69">
        <v>43616</v>
      </c>
      <c r="L5" s="79">
        <v>43493</v>
      </c>
      <c r="M5" s="82">
        <v>72</v>
      </c>
      <c r="N5" s="83">
        <v>0.37</v>
      </c>
      <c r="O5" s="15" t="s">
        <v>45</v>
      </c>
      <c r="P5" s="5">
        <v>108</v>
      </c>
      <c r="Q5" s="5" t="s">
        <v>93</v>
      </c>
      <c r="R5" s="5" t="s">
        <v>83</v>
      </c>
      <c r="S5" s="5">
        <v>3</v>
      </c>
      <c r="T5" s="5">
        <v>85.2333</v>
      </c>
      <c r="U5" s="5">
        <v>7</v>
      </c>
      <c r="V5" s="10">
        <v>85.336600000000004</v>
      </c>
      <c r="W5" s="75">
        <f t="shared" si="1"/>
        <v>1.4757142857143484E-2</v>
      </c>
      <c r="X5" s="81" t="s">
        <v>45</v>
      </c>
      <c r="Y5" s="74">
        <v>43493</v>
      </c>
      <c r="Z5" s="74">
        <v>43665</v>
      </c>
      <c r="AA5" s="79">
        <v>43665</v>
      </c>
      <c r="AB5" s="71">
        <v>76</v>
      </c>
      <c r="AC5" s="70">
        <v>0.74</v>
      </c>
      <c r="AD5" s="15" t="s">
        <v>45</v>
      </c>
    </row>
    <row r="6" spans="1:30" x14ac:dyDescent="0.25">
      <c r="A6" s="14">
        <v>202</v>
      </c>
      <c r="B6" s="5" t="s">
        <v>47</v>
      </c>
      <c r="C6" s="5" t="s">
        <v>83</v>
      </c>
      <c r="D6" s="5">
        <v>4</v>
      </c>
      <c r="E6" s="5">
        <v>75.028599999999997</v>
      </c>
      <c r="F6" s="5">
        <v>7</v>
      </c>
      <c r="G6" s="5">
        <v>75.127899999999997</v>
      </c>
      <c r="H6" s="75">
        <f t="shared" si="0"/>
        <v>1.4185714285714215E-2</v>
      </c>
      <c r="I6" s="81" t="s">
        <v>45</v>
      </c>
      <c r="J6" s="69">
        <v>43476</v>
      </c>
      <c r="K6" s="69">
        <v>43616</v>
      </c>
      <c r="L6" s="79">
        <v>43616</v>
      </c>
      <c r="M6" s="82">
        <v>72</v>
      </c>
      <c r="N6" s="83">
        <v>0.65</v>
      </c>
      <c r="O6" s="15" t="s">
        <v>45</v>
      </c>
      <c r="P6" s="22">
        <v>201</v>
      </c>
      <c r="Q6" s="22" t="s">
        <v>140</v>
      </c>
      <c r="R6" s="22" t="s">
        <v>36</v>
      </c>
      <c r="S6" s="22">
        <v>1</v>
      </c>
      <c r="T6" s="22">
        <v>89.216200000000001</v>
      </c>
      <c r="U6" s="22">
        <v>7</v>
      </c>
      <c r="V6" s="22">
        <v>94.970100000000002</v>
      </c>
      <c r="W6" s="76">
        <f t="shared" ref="W6:W14" si="2">(V6-T6)/U6</f>
        <v>0.82198571428571454</v>
      </c>
      <c r="X6" s="77" t="s">
        <v>45</v>
      </c>
      <c r="Y6" s="78">
        <v>43707</v>
      </c>
      <c r="Z6" s="78">
        <v>43714</v>
      </c>
      <c r="AA6" s="79">
        <v>43707</v>
      </c>
      <c r="AB6" s="82">
        <v>74</v>
      </c>
      <c r="AC6" s="83">
        <v>0.65</v>
      </c>
      <c r="AD6" s="15" t="s">
        <v>45</v>
      </c>
    </row>
    <row r="7" spans="1:30" x14ac:dyDescent="0.25">
      <c r="A7" s="14">
        <v>202</v>
      </c>
      <c r="B7" s="5" t="s">
        <v>46</v>
      </c>
      <c r="C7" s="5" t="s">
        <v>83</v>
      </c>
      <c r="D7" s="5">
        <v>5</v>
      </c>
      <c r="E7" s="5">
        <v>84.602500000000006</v>
      </c>
      <c r="F7" s="5">
        <v>7</v>
      </c>
      <c r="G7" s="5">
        <v>84.798400000000001</v>
      </c>
      <c r="H7" s="75">
        <f t="shared" si="0"/>
        <v>2.7985714285713521E-2</v>
      </c>
      <c r="I7" s="81" t="s">
        <v>45</v>
      </c>
      <c r="J7" s="69">
        <v>43476</v>
      </c>
      <c r="K7" s="69">
        <v>43616</v>
      </c>
      <c r="L7" s="79">
        <v>43658</v>
      </c>
      <c r="M7" s="82">
        <v>75</v>
      </c>
      <c r="N7" s="83">
        <v>0.65</v>
      </c>
      <c r="O7" s="15" t="s">
        <v>45</v>
      </c>
      <c r="P7" s="22">
        <v>201</v>
      </c>
      <c r="Q7" s="22" t="s">
        <v>141</v>
      </c>
      <c r="R7" s="22" t="s">
        <v>36</v>
      </c>
      <c r="S7" s="22">
        <v>2</v>
      </c>
      <c r="T7" s="22">
        <v>104.82680000000001</v>
      </c>
      <c r="U7" s="22">
        <v>7</v>
      </c>
      <c r="V7" s="22">
        <v>110.12439999999999</v>
      </c>
      <c r="W7" s="76">
        <f t="shared" si="2"/>
        <v>0.75679999999999836</v>
      </c>
      <c r="X7" s="77" t="s">
        <v>45</v>
      </c>
      <c r="Y7" s="78">
        <v>43707</v>
      </c>
      <c r="Z7" s="78">
        <v>43714</v>
      </c>
      <c r="AA7" s="79">
        <v>43714</v>
      </c>
      <c r="AB7" s="82">
        <v>74</v>
      </c>
      <c r="AC7" s="83">
        <v>0.66</v>
      </c>
      <c r="AD7" s="15" t="s">
        <v>45</v>
      </c>
    </row>
    <row r="8" spans="1:30" x14ac:dyDescent="0.25">
      <c r="A8" s="100">
        <v>108</v>
      </c>
      <c r="B8" s="22" t="s">
        <v>59</v>
      </c>
      <c r="C8" s="22" t="s">
        <v>36</v>
      </c>
      <c r="D8" s="22">
        <v>1</v>
      </c>
      <c r="E8" s="22">
        <v>82.644099999999995</v>
      </c>
      <c r="F8" s="22">
        <v>7</v>
      </c>
      <c r="G8" s="22">
        <v>86.971599999999995</v>
      </c>
      <c r="H8" s="76">
        <f t="shared" ref="H8:H16" si="3">(G8-E8)/F8</f>
        <v>0.61821428571428583</v>
      </c>
      <c r="I8" s="77" t="s">
        <v>45</v>
      </c>
      <c r="J8" s="78">
        <v>43493</v>
      </c>
      <c r="K8" s="78">
        <v>43658</v>
      </c>
      <c r="L8" s="79">
        <v>43665</v>
      </c>
      <c r="M8" s="71">
        <v>76</v>
      </c>
      <c r="N8" s="70">
        <v>0.74</v>
      </c>
      <c r="O8" s="15" t="s">
        <v>45</v>
      </c>
      <c r="P8" s="22">
        <v>201</v>
      </c>
      <c r="Q8" s="22" t="s">
        <v>142</v>
      </c>
      <c r="R8" s="22" t="s">
        <v>36</v>
      </c>
      <c r="S8" s="22">
        <v>3</v>
      </c>
      <c r="T8" s="22">
        <v>106.63160000000001</v>
      </c>
      <c r="U8" s="22">
        <v>7</v>
      </c>
      <c r="V8" s="22">
        <v>111.6434</v>
      </c>
      <c r="W8" s="76">
        <f t="shared" si="2"/>
        <v>0.7159714285714277</v>
      </c>
      <c r="X8" s="77" t="s">
        <v>45</v>
      </c>
      <c r="Y8" s="78">
        <v>43707</v>
      </c>
      <c r="Z8" s="78">
        <v>43714</v>
      </c>
      <c r="AA8" s="79">
        <v>43728</v>
      </c>
      <c r="AB8" s="82">
        <v>72</v>
      </c>
      <c r="AC8" s="83">
        <v>0.67</v>
      </c>
      <c r="AD8" s="15" t="s">
        <v>156</v>
      </c>
    </row>
    <row r="9" spans="1:30" ht="15.75" thickBot="1" x14ac:dyDescent="0.3">
      <c r="A9" s="100">
        <v>108</v>
      </c>
      <c r="B9" s="22" t="s">
        <v>58</v>
      </c>
      <c r="C9" s="22" t="s">
        <v>36</v>
      </c>
      <c r="D9" s="22">
        <v>2</v>
      </c>
      <c r="E9" s="22">
        <v>82.7547</v>
      </c>
      <c r="F9" s="22">
        <v>7</v>
      </c>
      <c r="G9" s="22">
        <v>87.172799999999995</v>
      </c>
      <c r="H9" s="76">
        <f t="shared" si="3"/>
        <v>0.63115714285714219</v>
      </c>
      <c r="I9" s="77" t="s">
        <v>45</v>
      </c>
      <c r="J9" s="78">
        <v>43493</v>
      </c>
      <c r="K9" s="78">
        <v>43658</v>
      </c>
      <c r="L9" s="79">
        <v>43679</v>
      </c>
      <c r="M9" s="82">
        <v>72</v>
      </c>
      <c r="N9" s="83">
        <v>0.77</v>
      </c>
      <c r="O9" s="15" t="s">
        <v>123</v>
      </c>
      <c r="P9" s="22">
        <v>201</v>
      </c>
      <c r="Q9" s="22" t="s">
        <v>143</v>
      </c>
      <c r="R9" s="22" t="s">
        <v>36</v>
      </c>
      <c r="S9" s="22">
        <v>6</v>
      </c>
      <c r="T9" s="22">
        <v>96.922300000000007</v>
      </c>
      <c r="U9" s="22">
        <v>7</v>
      </c>
      <c r="V9" s="22">
        <v>102.7636</v>
      </c>
      <c r="W9" s="76">
        <f t="shared" si="2"/>
        <v>0.83447142857142709</v>
      </c>
      <c r="X9" s="77" t="s">
        <v>45</v>
      </c>
      <c r="Y9" s="78">
        <v>43707</v>
      </c>
      <c r="Z9" s="78">
        <v>43714</v>
      </c>
      <c r="AA9" s="160">
        <v>43735</v>
      </c>
      <c r="AB9" s="67">
        <v>72</v>
      </c>
      <c r="AC9" s="66">
        <v>0.67</v>
      </c>
      <c r="AD9" s="65" t="s">
        <v>45</v>
      </c>
    </row>
    <row r="10" spans="1:30" ht="15.75" thickBot="1" x14ac:dyDescent="0.3">
      <c r="A10" s="100">
        <v>108</v>
      </c>
      <c r="B10" s="22" t="s">
        <v>57</v>
      </c>
      <c r="C10" s="22" t="s">
        <v>36</v>
      </c>
      <c r="D10" s="22">
        <v>3</v>
      </c>
      <c r="E10" s="22">
        <v>96.568100000000001</v>
      </c>
      <c r="F10" s="22">
        <v>7</v>
      </c>
      <c r="G10" s="22">
        <v>100.95829999999999</v>
      </c>
      <c r="H10" s="76">
        <f t="shared" si="3"/>
        <v>0.6271714285714276</v>
      </c>
      <c r="I10" s="77" t="s">
        <v>45</v>
      </c>
      <c r="J10" s="78">
        <v>43493</v>
      </c>
      <c r="K10" s="78">
        <v>43658</v>
      </c>
      <c r="L10" s="160">
        <v>43686</v>
      </c>
      <c r="M10" s="162">
        <v>72</v>
      </c>
      <c r="N10" s="163">
        <v>0.69</v>
      </c>
      <c r="O10" s="65" t="s">
        <v>45</v>
      </c>
      <c r="P10" s="22">
        <v>201</v>
      </c>
      <c r="Q10" s="22" t="s">
        <v>144</v>
      </c>
      <c r="R10" s="22" t="s">
        <v>36</v>
      </c>
      <c r="S10" s="22">
        <v>5</v>
      </c>
      <c r="T10" s="22">
        <v>90.698599999999999</v>
      </c>
      <c r="U10" s="22">
        <v>7</v>
      </c>
      <c r="V10" s="22">
        <v>96.194800000000001</v>
      </c>
      <c r="W10" s="76">
        <f t="shared" si="2"/>
        <v>0.78517142857142885</v>
      </c>
      <c r="X10" s="77" t="s">
        <v>45</v>
      </c>
      <c r="Y10" s="78">
        <v>43707</v>
      </c>
      <c r="Z10" s="78">
        <v>43714</v>
      </c>
      <c r="AA10" s="5"/>
      <c r="AB10" s="5"/>
      <c r="AC10" s="5"/>
      <c r="AD10" s="15"/>
    </row>
    <row r="11" spans="1:30" x14ac:dyDescent="0.25">
      <c r="A11" s="100">
        <v>108</v>
      </c>
      <c r="B11" s="22" t="s">
        <v>56</v>
      </c>
      <c r="C11" s="22" t="s">
        <v>36</v>
      </c>
      <c r="D11" s="22">
        <v>6</v>
      </c>
      <c r="E11" s="22">
        <v>100.3817</v>
      </c>
      <c r="F11" s="22">
        <v>7</v>
      </c>
      <c r="G11" s="22">
        <v>105.9911</v>
      </c>
      <c r="H11" s="76">
        <f t="shared" si="3"/>
        <v>0.80134285714285824</v>
      </c>
      <c r="I11" s="77" t="s">
        <v>45</v>
      </c>
      <c r="J11" s="78">
        <v>43493</v>
      </c>
      <c r="K11" s="78">
        <v>43658</v>
      </c>
      <c r="L11" s="5"/>
      <c r="M11" s="5"/>
      <c r="N11" s="3" t="s">
        <v>4</v>
      </c>
      <c r="O11" s="13" t="s">
        <v>74</v>
      </c>
      <c r="P11" s="100">
        <v>201</v>
      </c>
      <c r="Q11" s="22" t="s">
        <v>145</v>
      </c>
      <c r="R11" s="22" t="s">
        <v>36</v>
      </c>
      <c r="S11" s="22">
        <v>6</v>
      </c>
      <c r="T11" s="22">
        <v>87.545000000000002</v>
      </c>
      <c r="U11" s="22">
        <v>7</v>
      </c>
      <c r="V11" s="22">
        <v>92.545599999999993</v>
      </c>
      <c r="W11" s="76">
        <f t="shared" si="2"/>
        <v>0.71437142857142732</v>
      </c>
      <c r="X11" s="77" t="s">
        <v>45</v>
      </c>
      <c r="Y11" s="78">
        <v>43707</v>
      </c>
      <c r="Z11" s="78">
        <v>43714</v>
      </c>
      <c r="AA11" s="5"/>
      <c r="AB11" s="5"/>
      <c r="AC11" s="3" t="s">
        <v>4</v>
      </c>
      <c r="AD11" s="13" t="s">
        <v>74</v>
      </c>
    </row>
    <row r="12" spans="1:30" x14ac:dyDescent="0.25">
      <c r="A12" s="100">
        <v>108</v>
      </c>
      <c r="B12" s="22" t="s">
        <v>55</v>
      </c>
      <c r="C12" s="22" t="s">
        <v>36</v>
      </c>
      <c r="D12" s="22">
        <v>5</v>
      </c>
      <c r="E12" s="22">
        <v>100.6412</v>
      </c>
      <c r="F12" s="22">
        <v>7</v>
      </c>
      <c r="G12" s="22">
        <v>105.1699</v>
      </c>
      <c r="H12" s="76">
        <f t="shared" si="3"/>
        <v>0.6469571428571429</v>
      </c>
      <c r="I12" s="77" t="s">
        <v>45</v>
      </c>
      <c r="J12" s="78">
        <v>43493</v>
      </c>
      <c r="K12" s="78">
        <v>43658</v>
      </c>
      <c r="L12" s="5"/>
      <c r="M12" s="5" t="s">
        <v>75</v>
      </c>
      <c r="N12" s="75">
        <f>AVERAGE(H3:H7)</f>
        <v>1.9948571428571427E-2</v>
      </c>
      <c r="O12" s="15">
        <f>STDEV(H3:H7)</f>
        <v>5.0835830205208455E-3</v>
      </c>
      <c r="P12" s="42">
        <v>201</v>
      </c>
      <c r="Q12" s="10" t="s">
        <v>128</v>
      </c>
      <c r="R12" s="10" t="s">
        <v>84</v>
      </c>
      <c r="S12" s="10">
        <v>1</v>
      </c>
      <c r="T12" s="10">
        <v>64.903999999999996</v>
      </c>
      <c r="U12" s="10">
        <v>15</v>
      </c>
      <c r="V12" s="10">
        <v>65.249399999999994</v>
      </c>
      <c r="W12" s="72">
        <f t="shared" si="2"/>
        <v>2.3026666666666529E-2</v>
      </c>
      <c r="X12" s="73" t="s">
        <v>45</v>
      </c>
      <c r="Y12" s="74">
        <v>43707</v>
      </c>
      <c r="Z12" s="74">
        <v>43714</v>
      </c>
      <c r="AA12" s="5"/>
      <c r="AB12" s="5" t="s">
        <v>157</v>
      </c>
      <c r="AC12" s="75">
        <f>AVERAGE(W3:W5)</f>
        <v>1.7523809523809285E-2</v>
      </c>
      <c r="AD12" s="15">
        <f>STDEV(W3:W5)</f>
        <v>2.396099438045759E-3</v>
      </c>
    </row>
    <row r="13" spans="1:30" x14ac:dyDescent="0.25">
      <c r="A13" s="100">
        <v>108</v>
      </c>
      <c r="B13" s="22" t="s">
        <v>54</v>
      </c>
      <c r="C13" s="22" t="s">
        <v>36</v>
      </c>
      <c r="D13" s="22">
        <v>6</v>
      </c>
      <c r="E13" s="22">
        <v>110.6726</v>
      </c>
      <c r="F13" s="22">
        <v>7</v>
      </c>
      <c r="G13" s="22">
        <v>115.4061</v>
      </c>
      <c r="H13" s="76">
        <f t="shared" si="3"/>
        <v>0.67621428571428466</v>
      </c>
      <c r="I13" s="77" t="s">
        <v>45</v>
      </c>
      <c r="J13" s="78">
        <v>43493</v>
      </c>
      <c r="K13" s="78">
        <v>43658</v>
      </c>
      <c r="L13" s="5"/>
      <c r="M13" s="5" t="s">
        <v>76</v>
      </c>
      <c r="N13" s="75">
        <f>AVERAGE(H8:H13)</f>
        <v>0.66684285714285696</v>
      </c>
      <c r="O13" s="15">
        <f>STDEV(H8:H13)</f>
        <v>6.8971799620259441E-2</v>
      </c>
      <c r="P13" s="42">
        <v>201</v>
      </c>
      <c r="Q13" s="10" t="s">
        <v>129</v>
      </c>
      <c r="R13" s="10" t="s">
        <v>84</v>
      </c>
      <c r="S13" s="10">
        <v>2</v>
      </c>
      <c r="T13" s="10">
        <v>65.259500000000003</v>
      </c>
      <c r="U13" s="10">
        <v>15</v>
      </c>
      <c r="V13" s="10">
        <v>65.539900000000003</v>
      </c>
      <c r="W13" s="72">
        <f t="shared" si="2"/>
        <v>1.8693333333333347E-2</v>
      </c>
      <c r="X13" s="73" t="s">
        <v>45</v>
      </c>
      <c r="Y13" s="74">
        <v>43707</v>
      </c>
      <c r="Z13" s="74">
        <v>43714</v>
      </c>
      <c r="AA13" s="5"/>
      <c r="AB13" s="5" t="s">
        <v>158</v>
      </c>
      <c r="AC13" s="75">
        <f>AVERAGE(W6:W11)</f>
        <v>0.7714619047619039</v>
      </c>
      <c r="AD13" s="15">
        <f>STDEV(W6:W11)</f>
        <v>5.1505909046115218E-2</v>
      </c>
    </row>
    <row r="14" spans="1:30" x14ac:dyDescent="0.25">
      <c r="A14" s="42">
        <v>108</v>
      </c>
      <c r="B14" s="10" t="s">
        <v>53</v>
      </c>
      <c r="C14" s="10" t="s">
        <v>84</v>
      </c>
      <c r="D14" s="10">
        <v>1</v>
      </c>
      <c r="E14" s="10">
        <v>90.646299999999997</v>
      </c>
      <c r="F14" s="10">
        <v>15</v>
      </c>
      <c r="G14" s="10">
        <v>90.861400000000003</v>
      </c>
      <c r="H14" s="72">
        <f t="shared" si="3"/>
        <v>1.4340000000000448E-2</v>
      </c>
      <c r="I14" s="73" t="s">
        <v>45</v>
      </c>
      <c r="J14" s="74">
        <v>43493</v>
      </c>
      <c r="K14" s="74">
        <v>43658</v>
      </c>
      <c r="L14" s="5"/>
      <c r="M14" s="5" t="s">
        <v>77</v>
      </c>
      <c r="N14" s="75">
        <f>AVERAGE(H14:H16)</f>
        <v>1.4584444444444481E-2</v>
      </c>
      <c r="O14" s="15">
        <f>STDEV(H14:H16)</f>
        <v>3.7263824181000437E-4</v>
      </c>
      <c r="P14" s="42">
        <v>201</v>
      </c>
      <c r="Q14" s="10" t="s">
        <v>130</v>
      </c>
      <c r="R14" s="10" t="s">
        <v>84</v>
      </c>
      <c r="S14" s="10">
        <v>3</v>
      </c>
      <c r="T14" s="10">
        <v>79.463700000000003</v>
      </c>
      <c r="U14" s="10">
        <v>15</v>
      </c>
      <c r="V14" s="10">
        <v>79.849500000000006</v>
      </c>
      <c r="W14" s="72">
        <f t="shared" si="2"/>
        <v>2.5720000000000218E-2</v>
      </c>
      <c r="X14" s="73" t="s">
        <v>45</v>
      </c>
      <c r="Y14" s="74">
        <v>43707</v>
      </c>
      <c r="Z14" s="74">
        <v>43714</v>
      </c>
      <c r="AA14" s="5"/>
      <c r="AB14" s="5" t="s">
        <v>159</v>
      </c>
      <c r="AC14" s="75">
        <f>AVERAGE(W12:W14)</f>
        <v>2.2480000000000031E-2</v>
      </c>
      <c r="AD14" s="15">
        <f>STDEV(W12:W14)</f>
        <v>3.5450873676744592E-3</v>
      </c>
    </row>
    <row r="15" spans="1:30" x14ac:dyDescent="0.25">
      <c r="A15" s="42">
        <v>108</v>
      </c>
      <c r="B15" s="10" t="s">
        <v>52</v>
      </c>
      <c r="C15" s="10" t="s">
        <v>84</v>
      </c>
      <c r="D15" s="10">
        <v>2</v>
      </c>
      <c r="E15" s="10">
        <v>89.572100000000006</v>
      </c>
      <c r="F15" s="10">
        <v>15</v>
      </c>
      <c r="G15" s="10">
        <v>89.797300000000007</v>
      </c>
      <c r="H15" s="72">
        <f t="shared" si="3"/>
        <v>1.5013333333333398E-2</v>
      </c>
      <c r="I15" s="73" t="s">
        <v>45</v>
      </c>
      <c r="J15" s="74">
        <v>43493</v>
      </c>
      <c r="K15" s="74">
        <v>43658</v>
      </c>
      <c r="L15" s="5"/>
      <c r="M15" s="5" t="s">
        <v>78</v>
      </c>
      <c r="N15" s="75">
        <f>AVERAGE(H17:H19)</f>
        <v>0.6171000000000002</v>
      </c>
      <c r="O15" s="15">
        <f>STDEV(H17:H19)</f>
        <v>6.9278109096596041E-2</v>
      </c>
      <c r="P15" s="100">
        <v>201</v>
      </c>
      <c r="Q15" s="22" t="s">
        <v>55</v>
      </c>
      <c r="R15" s="22" t="s">
        <v>85</v>
      </c>
      <c r="S15" s="22">
        <v>1</v>
      </c>
      <c r="T15" s="22">
        <v>131.46190000000001</v>
      </c>
      <c r="U15" s="22">
        <v>7</v>
      </c>
      <c r="V15" s="22">
        <v>134.768</v>
      </c>
      <c r="W15" s="76">
        <f t="shared" ref="W15:W17" si="4">(V15-T15)/U15</f>
        <v>0.47229999999999805</v>
      </c>
      <c r="X15" s="77" t="s">
        <v>45</v>
      </c>
      <c r="Y15" s="78">
        <v>43707</v>
      </c>
      <c r="Z15" s="78">
        <v>43728</v>
      </c>
      <c r="AA15" s="5"/>
      <c r="AB15" s="5" t="s">
        <v>160</v>
      </c>
      <c r="AC15" s="75">
        <f>AVERAGE(W15:W17)</f>
        <v>0.49584285714285586</v>
      </c>
      <c r="AD15" s="15">
        <f>STDEV(W15:W17)</f>
        <v>2.2229452791928728E-2</v>
      </c>
    </row>
    <row r="16" spans="1:30" x14ac:dyDescent="0.25">
      <c r="A16" s="42">
        <v>108</v>
      </c>
      <c r="B16" s="10" t="s">
        <v>51</v>
      </c>
      <c r="C16" s="10" t="s">
        <v>84</v>
      </c>
      <c r="D16" s="10">
        <v>3</v>
      </c>
      <c r="E16" s="10">
        <v>105.0819</v>
      </c>
      <c r="F16" s="10">
        <v>15</v>
      </c>
      <c r="G16" s="10">
        <v>105.2979</v>
      </c>
      <c r="H16" s="72">
        <f t="shared" si="3"/>
        <v>1.4399999999999599E-2</v>
      </c>
      <c r="I16" s="73" t="s">
        <v>45</v>
      </c>
      <c r="J16" s="74">
        <v>43493</v>
      </c>
      <c r="K16" s="74">
        <v>43658</v>
      </c>
      <c r="L16" s="5"/>
      <c r="M16" s="5" t="s">
        <v>79</v>
      </c>
      <c r="N16" s="75">
        <f>AVERAGE(H20:H22)</f>
        <v>2.2208888888888764E-2</v>
      </c>
      <c r="O16" s="15">
        <f>STDEV(H20:H22)</f>
        <v>4.9155098450759556E-3</v>
      </c>
      <c r="P16" s="100">
        <v>201</v>
      </c>
      <c r="Q16" s="22" t="s">
        <v>54</v>
      </c>
      <c r="R16" s="22" t="s">
        <v>85</v>
      </c>
      <c r="S16" s="22">
        <v>2</v>
      </c>
      <c r="T16" s="22">
        <v>135.88630000000001</v>
      </c>
      <c r="U16" s="22">
        <v>7</v>
      </c>
      <c r="V16" s="22">
        <v>139.5016</v>
      </c>
      <c r="W16" s="76">
        <f t="shared" si="4"/>
        <v>0.51647142857142725</v>
      </c>
      <c r="X16" s="77" t="s">
        <v>45</v>
      </c>
      <c r="Y16" s="78">
        <v>43707</v>
      </c>
      <c r="Z16" s="78">
        <v>43728</v>
      </c>
      <c r="AA16" s="5"/>
      <c r="AB16" s="5" t="s">
        <v>161</v>
      </c>
      <c r="AC16" s="75">
        <f>AVERAGE(W18:W20)</f>
        <v>3.4477777777777878E-2</v>
      </c>
      <c r="AD16" s="15">
        <f>STDEV(W18:W20)</f>
        <v>5.7543542289798324E-4</v>
      </c>
    </row>
    <row r="17" spans="1:30" x14ac:dyDescent="0.25">
      <c r="A17" s="100">
        <v>108</v>
      </c>
      <c r="B17" s="22" t="s">
        <v>120</v>
      </c>
      <c r="C17" s="22" t="s">
        <v>85</v>
      </c>
      <c r="D17" s="22">
        <v>1</v>
      </c>
      <c r="E17" s="22">
        <v>77.321399999999997</v>
      </c>
      <c r="F17" s="22">
        <v>5</v>
      </c>
      <c r="G17" s="22">
        <v>80.097999999999999</v>
      </c>
      <c r="H17" s="76">
        <f t="shared" ref="H17:H19" si="5">(G17-E17)/F17</f>
        <v>0.55532000000000037</v>
      </c>
      <c r="I17" s="77" t="s">
        <v>45</v>
      </c>
      <c r="J17" s="78">
        <v>43493</v>
      </c>
      <c r="K17" s="78">
        <v>43679</v>
      </c>
      <c r="L17" s="5"/>
      <c r="M17" s="5" t="s">
        <v>80</v>
      </c>
      <c r="N17" s="75">
        <f>AVERAGE(H23:H25)</f>
        <v>9.1976190476189781E-2</v>
      </c>
      <c r="O17" s="15">
        <f>STDEV(H23:H25)</f>
        <v>2.7885715505464093E-2</v>
      </c>
      <c r="P17" s="100">
        <v>201</v>
      </c>
      <c r="Q17" s="22" t="s">
        <v>53</v>
      </c>
      <c r="R17" s="22" t="s">
        <v>85</v>
      </c>
      <c r="S17" s="22">
        <v>3</v>
      </c>
      <c r="T17" s="22">
        <v>113.78700000000001</v>
      </c>
      <c r="U17" s="22">
        <v>7</v>
      </c>
      <c r="V17" s="22">
        <v>117.2783</v>
      </c>
      <c r="W17" s="76">
        <f t="shared" si="4"/>
        <v>0.49875714285714218</v>
      </c>
      <c r="X17" s="77" t="s">
        <v>45</v>
      </c>
      <c r="Y17" s="78">
        <v>43707</v>
      </c>
      <c r="Z17" s="78">
        <v>43728</v>
      </c>
      <c r="AA17" s="5"/>
      <c r="AB17" s="5" t="s">
        <v>162</v>
      </c>
      <c r="AC17" s="75">
        <f>AVERAGE(W21:W23)</f>
        <v>0.56132857142857173</v>
      </c>
      <c r="AD17" s="15">
        <f>STDEV(W21:W23)</f>
        <v>3.798536506582096E-2</v>
      </c>
    </row>
    <row r="18" spans="1:30" x14ac:dyDescent="0.25">
      <c r="A18" s="100">
        <v>108</v>
      </c>
      <c r="B18" s="22" t="s">
        <v>121</v>
      </c>
      <c r="C18" s="22" t="s">
        <v>85</v>
      </c>
      <c r="D18" s="22">
        <v>2</v>
      </c>
      <c r="E18" s="22">
        <v>84.210099999999997</v>
      </c>
      <c r="F18" s="22">
        <v>5</v>
      </c>
      <c r="G18" s="22">
        <v>87.23</v>
      </c>
      <c r="H18" s="76">
        <f t="shared" si="5"/>
        <v>0.6039800000000014</v>
      </c>
      <c r="I18" s="77" t="s">
        <v>45</v>
      </c>
      <c r="J18" s="78">
        <v>43493</v>
      </c>
      <c r="K18" s="78">
        <v>43679</v>
      </c>
      <c r="L18" s="5"/>
      <c r="M18" s="5"/>
      <c r="N18" s="3"/>
      <c r="O18" s="13"/>
      <c r="P18" s="42">
        <v>201</v>
      </c>
      <c r="Q18" s="10" t="s">
        <v>152</v>
      </c>
      <c r="R18" s="10" t="s">
        <v>86</v>
      </c>
      <c r="S18" s="10">
        <v>1</v>
      </c>
      <c r="T18" s="10">
        <v>79.666399999999996</v>
      </c>
      <c r="U18" s="10">
        <v>15</v>
      </c>
      <c r="V18" s="10">
        <v>80.185299999999998</v>
      </c>
      <c r="W18" s="72">
        <f>(V18-T18)/U18</f>
        <v>3.4593333333333476E-2</v>
      </c>
      <c r="X18" s="73" t="s">
        <v>45</v>
      </c>
      <c r="Y18" s="74">
        <v>43707</v>
      </c>
      <c r="Z18" s="74">
        <v>43714</v>
      </c>
      <c r="AA18" s="5"/>
      <c r="AB18" s="5"/>
      <c r="AC18" s="3"/>
      <c r="AD18" s="13"/>
    </row>
    <row r="19" spans="1:30" x14ac:dyDescent="0.25">
      <c r="A19" s="100">
        <v>108</v>
      </c>
      <c r="B19" s="22" t="s">
        <v>122</v>
      </c>
      <c r="C19" s="22" t="s">
        <v>85</v>
      </c>
      <c r="D19" s="22">
        <v>3</v>
      </c>
      <c r="E19" s="22">
        <v>86.468000000000004</v>
      </c>
      <c r="F19" s="22">
        <v>5</v>
      </c>
      <c r="G19" s="22">
        <v>89.927999999999997</v>
      </c>
      <c r="H19" s="76">
        <f t="shared" si="5"/>
        <v>0.69199999999999873</v>
      </c>
      <c r="I19" s="77" t="s">
        <v>45</v>
      </c>
      <c r="J19" s="78">
        <v>43493</v>
      </c>
      <c r="K19" s="78">
        <v>43679</v>
      </c>
      <c r="L19" s="5"/>
      <c r="M19" s="84"/>
      <c r="N19" s="5"/>
      <c r="O19" s="87"/>
      <c r="P19" s="42">
        <v>201</v>
      </c>
      <c r="Q19" s="10" t="s">
        <v>153</v>
      </c>
      <c r="R19" s="10" t="s">
        <v>86</v>
      </c>
      <c r="S19" s="10">
        <v>2</v>
      </c>
      <c r="T19" s="10">
        <v>94.033699999999996</v>
      </c>
      <c r="U19" s="10">
        <v>15</v>
      </c>
      <c r="V19" s="10">
        <v>94.541499999999999</v>
      </c>
      <c r="W19" s="72">
        <f>(V19-T19)/U19</f>
        <v>3.3853333333333541E-2</v>
      </c>
      <c r="X19" s="73" t="s">
        <v>45</v>
      </c>
      <c r="Y19" s="74">
        <v>43707</v>
      </c>
      <c r="Z19" s="74">
        <v>43714</v>
      </c>
      <c r="AA19" s="5"/>
      <c r="AB19" s="84"/>
      <c r="AC19" s="5"/>
      <c r="AD19" s="87"/>
    </row>
    <row r="20" spans="1:30" x14ac:dyDescent="0.25">
      <c r="A20" s="42">
        <v>108</v>
      </c>
      <c r="B20" s="10" t="s">
        <v>88</v>
      </c>
      <c r="C20" s="10" t="s">
        <v>86</v>
      </c>
      <c r="D20" s="10">
        <v>1</v>
      </c>
      <c r="E20" s="10">
        <v>80.005799999999994</v>
      </c>
      <c r="F20" s="10">
        <v>15</v>
      </c>
      <c r="G20" s="10">
        <v>80.266499999999994</v>
      </c>
      <c r="H20" s="72">
        <f>(G20-E20)/F20</f>
        <v>1.7379999999999996E-2</v>
      </c>
      <c r="I20" s="73" t="s">
        <v>45</v>
      </c>
      <c r="J20" s="74">
        <v>43493</v>
      </c>
      <c r="K20" s="74">
        <v>43665</v>
      </c>
      <c r="L20" s="5"/>
      <c r="M20" s="84"/>
      <c r="N20" s="5"/>
      <c r="O20" s="87"/>
      <c r="P20" s="42">
        <v>201</v>
      </c>
      <c r="Q20" s="10" t="s">
        <v>59</v>
      </c>
      <c r="R20" s="10" t="s">
        <v>86</v>
      </c>
      <c r="S20" s="10">
        <v>3</v>
      </c>
      <c r="T20" s="10">
        <v>124.8317</v>
      </c>
      <c r="U20" s="10">
        <v>15</v>
      </c>
      <c r="V20" s="10">
        <v>125.3565</v>
      </c>
      <c r="W20" s="72">
        <f>(V20-T20)/U20</f>
        <v>3.4986666666666603E-2</v>
      </c>
      <c r="X20" s="73" t="s">
        <v>45</v>
      </c>
      <c r="Y20" s="74">
        <v>43707</v>
      </c>
      <c r="Z20" s="74">
        <v>43714</v>
      </c>
      <c r="AA20" s="5"/>
      <c r="AB20" s="84"/>
      <c r="AC20" s="5"/>
      <c r="AD20" s="87"/>
    </row>
    <row r="21" spans="1:30" x14ac:dyDescent="0.25">
      <c r="A21" s="42">
        <v>108</v>
      </c>
      <c r="B21" s="10" t="s">
        <v>89</v>
      </c>
      <c r="C21" s="10" t="s">
        <v>86</v>
      </c>
      <c r="D21" s="10">
        <v>2</v>
      </c>
      <c r="E21" s="10">
        <v>87.322699999999998</v>
      </c>
      <c r="F21" s="10">
        <v>15</v>
      </c>
      <c r="G21" s="10">
        <v>87.730800000000002</v>
      </c>
      <c r="H21" s="72">
        <f>(G21-E21)/F21</f>
        <v>2.7206666666666973E-2</v>
      </c>
      <c r="I21" s="73" t="s">
        <v>45</v>
      </c>
      <c r="J21" s="74">
        <v>43493</v>
      </c>
      <c r="K21" s="74">
        <v>43665</v>
      </c>
      <c r="L21" s="5"/>
      <c r="M21" s="5"/>
      <c r="N21" s="5"/>
      <c r="O21" s="15"/>
      <c r="P21" s="100">
        <v>201</v>
      </c>
      <c r="Q21" s="22" t="s">
        <v>92</v>
      </c>
      <c r="R21" s="22" t="s">
        <v>87</v>
      </c>
      <c r="S21" s="22">
        <v>1</v>
      </c>
      <c r="T21" s="22">
        <v>134.34549999999999</v>
      </c>
      <c r="U21" s="22">
        <v>7</v>
      </c>
      <c r="V21" s="22">
        <v>138.1978</v>
      </c>
      <c r="W21" s="76">
        <f t="shared" ref="W21:W23" si="6">(V21-T21)/U21</f>
        <v>0.55032857142857339</v>
      </c>
      <c r="X21" s="77" t="s">
        <v>45</v>
      </c>
      <c r="Y21" s="78">
        <v>43707</v>
      </c>
      <c r="Z21" s="78">
        <v>43735</v>
      </c>
      <c r="AA21" s="5"/>
      <c r="AB21" s="5"/>
      <c r="AC21" s="5"/>
      <c r="AD21" s="15"/>
    </row>
    <row r="22" spans="1:30" x14ac:dyDescent="0.25">
      <c r="A22" s="42">
        <v>108</v>
      </c>
      <c r="B22" s="10" t="s">
        <v>90</v>
      </c>
      <c r="C22" s="10" t="s">
        <v>86</v>
      </c>
      <c r="D22" s="10">
        <v>3</v>
      </c>
      <c r="E22" s="10">
        <v>95.771500000000003</v>
      </c>
      <c r="F22" s="10">
        <v>15</v>
      </c>
      <c r="G22" s="10">
        <v>96.102099999999993</v>
      </c>
      <c r="H22" s="72">
        <f>(G22-E22)/F22</f>
        <v>2.2039999999999321E-2</v>
      </c>
      <c r="I22" s="73" t="s">
        <v>45</v>
      </c>
      <c r="J22" s="74">
        <v>43493</v>
      </c>
      <c r="K22" s="74">
        <v>43665</v>
      </c>
      <c r="L22" s="5"/>
      <c r="M22" s="5"/>
      <c r="N22" s="5"/>
      <c r="O22" s="87"/>
      <c r="P22" s="100">
        <v>201</v>
      </c>
      <c r="Q22" s="22" t="s">
        <v>93</v>
      </c>
      <c r="R22" s="22" t="s">
        <v>87</v>
      </c>
      <c r="S22" s="22">
        <v>2</v>
      </c>
      <c r="T22" s="22">
        <v>87.963499999999996</v>
      </c>
      <c r="U22" s="22">
        <v>7</v>
      </c>
      <c r="V22" s="22">
        <v>92.188699999999997</v>
      </c>
      <c r="W22" s="76">
        <f t="shared" si="6"/>
        <v>0.60360000000000014</v>
      </c>
      <c r="X22" s="77" t="s">
        <v>45</v>
      </c>
      <c r="Y22" s="78">
        <v>43707</v>
      </c>
      <c r="Z22" s="205">
        <v>43735</v>
      </c>
      <c r="AA22" s="5"/>
      <c r="AB22" s="5"/>
      <c r="AC22" s="5"/>
      <c r="AD22" s="87"/>
    </row>
    <row r="23" spans="1:30" ht="15.75" thickBot="1" x14ac:dyDescent="0.3">
      <c r="A23" s="100">
        <v>108</v>
      </c>
      <c r="B23" s="22" t="s">
        <v>50</v>
      </c>
      <c r="C23" s="22" t="s">
        <v>87</v>
      </c>
      <c r="D23" s="22">
        <v>1</v>
      </c>
      <c r="E23" s="22">
        <v>65.752300000000005</v>
      </c>
      <c r="F23" s="22">
        <v>7</v>
      </c>
      <c r="G23" s="22">
        <v>66.170900000000003</v>
      </c>
      <c r="H23" s="76">
        <f t="shared" ref="H23:H25" si="7">(G23-E23)/F23</f>
        <v>5.9799999999999694E-2</v>
      </c>
      <c r="I23" s="77" t="s">
        <v>45</v>
      </c>
      <c r="J23" s="78">
        <v>43493</v>
      </c>
      <c r="K23" s="78">
        <v>43686</v>
      </c>
      <c r="L23" s="5"/>
      <c r="M23" s="5"/>
      <c r="N23" s="5"/>
      <c r="O23" s="15"/>
      <c r="P23" s="101">
        <v>201</v>
      </c>
      <c r="Q23" s="102" t="s">
        <v>94</v>
      </c>
      <c r="R23" s="102" t="s">
        <v>87</v>
      </c>
      <c r="S23" s="102">
        <v>3</v>
      </c>
      <c r="T23" s="102">
        <v>101.24420000000001</v>
      </c>
      <c r="U23" s="102">
        <v>7</v>
      </c>
      <c r="V23" s="102">
        <v>104.9546</v>
      </c>
      <c r="W23" s="103">
        <f t="shared" si="6"/>
        <v>0.53005714285714178</v>
      </c>
      <c r="X23" s="104" t="s">
        <v>45</v>
      </c>
      <c r="Y23" s="105">
        <v>43707</v>
      </c>
      <c r="Z23" s="105">
        <v>43735</v>
      </c>
      <c r="AA23" s="68"/>
      <c r="AB23" s="68"/>
      <c r="AC23" s="68"/>
      <c r="AD23" s="65"/>
    </row>
    <row r="24" spans="1:30" x14ac:dyDescent="0.25">
      <c r="A24" s="100">
        <v>108</v>
      </c>
      <c r="B24" s="22" t="s">
        <v>49</v>
      </c>
      <c r="C24" s="22" t="s">
        <v>87</v>
      </c>
      <c r="D24" s="22">
        <v>2</v>
      </c>
      <c r="E24" s="22">
        <v>89.957300000000004</v>
      </c>
      <c r="F24" s="22">
        <v>7</v>
      </c>
      <c r="G24" s="22">
        <v>90.706299999999999</v>
      </c>
      <c r="H24" s="76">
        <f t="shared" si="7"/>
        <v>0.10699999999999932</v>
      </c>
      <c r="I24" s="77" t="s">
        <v>45</v>
      </c>
      <c r="J24" s="78">
        <v>43493</v>
      </c>
      <c r="K24" s="78">
        <v>43686</v>
      </c>
      <c r="L24" s="5"/>
      <c r="M24" s="5"/>
      <c r="N24" s="5"/>
      <c r="O24" s="15"/>
    </row>
    <row r="25" spans="1:30" ht="15.75" thickBot="1" x14ac:dyDescent="0.3">
      <c r="A25" s="101">
        <v>108</v>
      </c>
      <c r="B25" s="102" t="s">
        <v>48</v>
      </c>
      <c r="C25" s="102" t="s">
        <v>87</v>
      </c>
      <c r="D25" s="102">
        <v>3</v>
      </c>
      <c r="E25" s="102">
        <v>71.813400000000001</v>
      </c>
      <c r="F25" s="102">
        <v>7</v>
      </c>
      <c r="G25" s="102">
        <v>72.577299999999994</v>
      </c>
      <c r="H25" s="103">
        <f t="shared" si="7"/>
        <v>0.10912857142857035</v>
      </c>
      <c r="I25" s="104" t="s">
        <v>45</v>
      </c>
      <c r="J25" s="105">
        <v>43493</v>
      </c>
      <c r="K25" s="105">
        <v>43686</v>
      </c>
      <c r="L25" s="68"/>
      <c r="M25" s="68"/>
      <c r="N25" s="68"/>
      <c r="O25" s="65"/>
    </row>
    <row r="26" spans="1:30" x14ac:dyDescent="0.25">
      <c r="O26" s="64"/>
    </row>
    <row r="28" spans="1:30" x14ac:dyDescent="0.25">
      <c r="D28" s="31"/>
      <c r="E28" s="31"/>
      <c r="F28" s="31"/>
      <c r="G28" s="31"/>
      <c r="H28" s="31"/>
      <c r="I28" s="96"/>
      <c r="J28" s="36"/>
      <c r="K28" s="36"/>
      <c r="L28" s="31"/>
      <c r="M28" s="31"/>
      <c r="N28" s="31"/>
      <c r="O28" s="31"/>
      <c r="P28" s="31"/>
    </row>
    <row r="29" spans="1:30" x14ac:dyDescent="0.25">
      <c r="D29" s="31"/>
      <c r="E29" s="31"/>
      <c r="F29" s="31"/>
      <c r="G29" s="31"/>
      <c r="H29" s="31"/>
      <c r="I29" s="220"/>
      <c r="J29" s="220"/>
      <c r="K29" s="220"/>
      <c r="L29" s="31"/>
      <c r="M29" s="31"/>
      <c r="N29" s="31"/>
      <c r="O29" s="31"/>
      <c r="P29" s="31"/>
    </row>
    <row r="30" spans="1:30" x14ac:dyDescent="0.25">
      <c r="D30" s="31"/>
      <c r="E30" s="31"/>
      <c r="F30" s="31"/>
      <c r="G30" s="31"/>
      <c r="H30" s="31"/>
      <c r="I30" s="220"/>
      <c r="J30" s="220"/>
      <c r="K30" s="220"/>
      <c r="L30" s="31"/>
      <c r="M30" s="31"/>
      <c r="N30" s="31"/>
      <c r="O30" s="31"/>
      <c r="P30" s="31"/>
    </row>
    <row r="31" spans="1:30" x14ac:dyDescent="0.25">
      <c r="D31" s="31"/>
      <c r="E31" s="31"/>
      <c r="F31" s="31"/>
      <c r="G31" s="31"/>
      <c r="H31" s="31"/>
      <c r="I31" s="96"/>
      <c r="J31" s="96"/>
      <c r="K31" s="96"/>
      <c r="L31" s="31"/>
      <c r="M31" s="31"/>
      <c r="N31" s="31"/>
      <c r="O31" s="31"/>
      <c r="P31" s="31"/>
    </row>
    <row r="32" spans="1:30" x14ac:dyDescent="0.25">
      <c r="D32" s="31"/>
      <c r="E32" s="31"/>
      <c r="F32" s="31"/>
      <c r="G32" s="31"/>
      <c r="H32" s="31"/>
      <c r="I32" s="220"/>
      <c r="J32" s="220"/>
      <c r="K32" s="220"/>
      <c r="L32" s="31"/>
      <c r="M32" s="31"/>
      <c r="N32" s="31"/>
      <c r="O32" s="31"/>
      <c r="P32" s="31"/>
    </row>
    <row r="33" spans="4:16" x14ac:dyDescent="0.25">
      <c r="D33" s="31"/>
      <c r="E33" s="31"/>
      <c r="F33" s="31"/>
      <c r="G33" s="31"/>
      <c r="H33" s="31"/>
      <c r="I33" s="96"/>
      <c r="J33" s="96"/>
      <c r="K33" s="96"/>
      <c r="L33" s="31"/>
      <c r="M33" s="31"/>
      <c r="N33" s="31"/>
      <c r="O33" s="31"/>
      <c r="P33" s="31"/>
    </row>
    <row r="34" spans="4:16" x14ac:dyDescent="0.25">
      <c r="D34" s="31"/>
      <c r="E34" s="31"/>
      <c r="F34" s="31"/>
      <c r="G34" s="31"/>
      <c r="H34" s="31"/>
      <c r="I34" s="96"/>
      <c r="J34" s="96"/>
      <c r="K34" s="96"/>
      <c r="L34" s="31"/>
      <c r="M34" s="31"/>
      <c r="N34" s="31"/>
      <c r="O34" s="31"/>
      <c r="P34" s="31"/>
    </row>
    <row r="35" spans="4:16" x14ac:dyDescent="0.25">
      <c r="D35" s="31"/>
      <c r="E35" s="31"/>
      <c r="F35" s="31"/>
      <c r="G35" s="31"/>
      <c r="H35" s="96"/>
      <c r="I35" s="221"/>
      <c r="J35" s="96"/>
      <c r="K35" s="96"/>
      <c r="L35" s="31"/>
      <c r="M35" s="31"/>
      <c r="N35" s="31"/>
      <c r="O35" s="31"/>
      <c r="P35" s="31"/>
    </row>
    <row r="36" spans="4:16" x14ac:dyDescent="0.25">
      <c r="D36" s="31"/>
      <c r="E36" s="31"/>
      <c r="F36" s="31"/>
      <c r="G36" s="31"/>
      <c r="H36" s="96"/>
      <c r="I36" s="222"/>
      <c r="J36" s="31"/>
      <c r="K36" s="31"/>
      <c r="L36" s="31"/>
      <c r="M36" s="31"/>
      <c r="N36" s="31"/>
      <c r="O36" s="31"/>
      <c r="P36" s="31"/>
    </row>
    <row r="37" spans="4:16" x14ac:dyDescent="0.25">
      <c r="D37" s="31"/>
      <c r="E37" s="31"/>
      <c r="F37" s="31"/>
      <c r="G37" s="31"/>
      <c r="H37" s="96"/>
      <c r="I37" s="222"/>
      <c r="J37" s="31"/>
      <c r="K37" s="31"/>
      <c r="L37" s="31"/>
      <c r="M37" s="31"/>
      <c r="N37" s="31"/>
      <c r="O37" s="31"/>
      <c r="P37" s="31"/>
    </row>
    <row r="38" spans="4:16" x14ac:dyDescent="0.25">
      <c r="D38" s="31"/>
      <c r="E38" s="31"/>
      <c r="F38" s="31"/>
      <c r="G38" s="31"/>
      <c r="H38" s="96"/>
      <c r="I38" s="222"/>
      <c r="J38" s="31"/>
      <c r="K38" s="31"/>
      <c r="L38" s="31"/>
      <c r="M38" s="31"/>
      <c r="N38" s="31"/>
      <c r="O38" s="31"/>
      <c r="P38" s="31"/>
    </row>
    <row r="39" spans="4:16" x14ac:dyDescent="0.25">
      <c r="D39" s="31"/>
      <c r="E39" s="31"/>
      <c r="F39" s="31"/>
      <c r="G39" s="31"/>
      <c r="H39" s="96"/>
      <c r="I39" s="222"/>
      <c r="J39" s="31"/>
      <c r="K39" s="31"/>
      <c r="L39" s="31"/>
      <c r="M39" s="31"/>
      <c r="N39" s="31"/>
      <c r="O39" s="31"/>
      <c r="P39" s="31"/>
    </row>
    <row r="40" spans="4:16" x14ac:dyDescent="0.25">
      <c r="D40" s="31"/>
      <c r="E40" s="31"/>
      <c r="F40" s="31"/>
      <c r="G40" s="31"/>
      <c r="H40" s="96"/>
      <c r="I40" s="222"/>
      <c r="J40" s="31"/>
      <c r="K40" s="31"/>
      <c r="L40" s="31"/>
      <c r="M40" s="31"/>
      <c r="N40" s="31"/>
      <c r="O40" s="31"/>
      <c r="P40" s="31"/>
    </row>
    <row r="41" spans="4:16" x14ac:dyDescent="0.25">
      <c r="D41" s="31"/>
      <c r="E41" s="31"/>
      <c r="F41" s="31"/>
      <c r="G41" s="31"/>
      <c r="H41" s="96"/>
      <c r="I41" s="222"/>
      <c r="J41" s="31"/>
      <c r="K41" s="31"/>
      <c r="L41" s="31"/>
      <c r="M41" s="31"/>
      <c r="N41" s="31"/>
      <c r="O41" s="31"/>
      <c r="P41" s="31"/>
    </row>
    <row r="42" spans="4:16" x14ac:dyDescent="0.25">
      <c r="D42" s="31"/>
      <c r="E42" s="31"/>
      <c r="F42" s="31"/>
      <c r="G42" s="96"/>
      <c r="H42" s="96"/>
      <c r="I42" s="222"/>
      <c r="J42" s="31"/>
      <c r="K42" s="31"/>
      <c r="L42" s="31"/>
      <c r="M42" s="31"/>
      <c r="N42" s="31"/>
      <c r="O42" s="31"/>
      <c r="P42" s="31"/>
    </row>
    <row r="43" spans="4:16" x14ac:dyDescent="0.25">
      <c r="D43" s="31"/>
      <c r="E43" s="31"/>
      <c r="F43" s="31"/>
      <c r="G43" s="96"/>
      <c r="H43" s="96"/>
      <c r="I43" s="222"/>
      <c r="J43" s="31"/>
      <c r="K43" s="31"/>
      <c r="L43" s="31"/>
      <c r="M43" s="31"/>
      <c r="N43" s="31"/>
      <c r="O43" s="31"/>
      <c r="P43" s="31"/>
    </row>
    <row r="44" spans="4:16" x14ac:dyDescent="0.25">
      <c r="D44" s="31"/>
      <c r="E44" s="31"/>
      <c r="F44" s="31"/>
      <c r="G44" s="31"/>
      <c r="H44" s="96"/>
      <c r="I44" s="222"/>
      <c r="J44" s="31"/>
      <c r="K44" s="31"/>
      <c r="L44" s="31"/>
      <c r="M44" s="31"/>
      <c r="N44" s="31"/>
      <c r="O44" s="31"/>
      <c r="P44" s="31"/>
    </row>
    <row r="45" spans="4:16" x14ac:dyDescent="0.25">
      <c r="D45" s="31"/>
      <c r="E45" s="31"/>
      <c r="F45" s="31"/>
      <c r="G45" s="31"/>
      <c r="H45" s="96"/>
      <c r="I45" s="222"/>
      <c r="J45" s="31"/>
      <c r="K45" s="31"/>
      <c r="L45" s="31"/>
      <c r="M45" s="31"/>
      <c r="N45" s="31"/>
      <c r="O45" s="31"/>
      <c r="P45" s="31"/>
    </row>
    <row r="46" spans="4:16" x14ac:dyDescent="0.25">
      <c r="D46" s="31"/>
      <c r="E46" s="31"/>
      <c r="F46" s="31"/>
      <c r="G46" s="31"/>
      <c r="H46" s="96"/>
      <c r="I46" s="222"/>
      <c r="J46" s="31"/>
      <c r="K46" s="31"/>
      <c r="L46" s="31"/>
      <c r="M46" s="31"/>
      <c r="N46" s="31"/>
      <c r="O46" s="31"/>
      <c r="P46" s="31"/>
    </row>
    <row r="47" spans="4:16" x14ac:dyDescent="0.25">
      <c r="D47" s="31"/>
      <c r="E47" s="31"/>
      <c r="F47" s="31"/>
      <c r="G47" s="31"/>
      <c r="H47" s="96"/>
      <c r="I47" s="222"/>
      <c r="J47" s="31"/>
      <c r="K47" s="31"/>
      <c r="L47" s="31"/>
      <c r="M47" s="31"/>
      <c r="N47" s="31"/>
      <c r="O47" s="31"/>
      <c r="P47" s="31"/>
    </row>
    <row r="48" spans="4:16" x14ac:dyDescent="0.25">
      <c r="D48" s="31"/>
      <c r="E48" s="31"/>
      <c r="F48" s="31"/>
      <c r="G48" s="31"/>
      <c r="H48" s="96"/>
      <c r="I48" s="222"/>
      <c r="J48" s="31"/>
      <c r="K48" s="31"/>
      <c r="L48" s="31"/>
      <c r="M48" s="31"/>
      <c r="N48" s="31"/>
      <c r="O48" s="31"/>
      <c r="P48" s="31"/>
    </row>
    <row r="49" spans="4:16" x14ac:dyDescent="0.25">
      <c r="D49" s="31"/>
      <c r="E49" s="31"/>
      <c r="F49" s="31"/>
      <c r="G49" s="31"/>
      <c r="H49" s="96"/>
      <c r="I49" s="222"/>
      <c r="J49" s="31"/>
      <c r="K49" s="31"/>
      <c r="L49" s="31"/>
      <c r="M49" s="31"/>
      <c r="N49" s="31"/>
      <c r="O49" s="31"/>
      <c r="P49" s="31"/>
    </row>
    <row r="61" spans="4:16" x14ac:dyDescent="0.25">
      <c r="F61" t="s">
        <v>40</v>
      </c>
    </row>
    <row r="62" spans="4:16" x14ac:dyDescent="0.25">
      <c r="G62" t="s">
        <v>175</v>
      </c>
      <c r="H62" s="64" t="s">
        <v>5</v>
      </c>
    </row>
    <row r="63" spans="4:16" x14ac:dyDescent="0.25">
      <c r="F63" t="s">
        <v>168</v>
      </c>
      <c r="G63" s="64">
        <f>N14</f>
        <v>1.4584444444444481E-2</v>
      </c>
      <c r="H63" s="64">
        <f>O14</f>
        <v>3.7263824181000437E-4</v>
      </c>
    </row>
    <row r="64" spans="4:16" x14ac:dyDescent="0.25">
      <c r="F64" t="s">
        <v>169</v>
      </c>
      <c r="G64" s="64">
        <f>AC14</f>
        <v>2.2480000000000031E-2</v>
      </c>
      <c r="H64" s="64">
        <f>AD14</f>
        <v>3.5450873676744592E-3</v>
      </c>
    </row>
    <row r="65" spans="6:8" x14ac:dyDescent="0.25">
      <c r="F65" t="s">
        <v>170</v>
      </c>
      <c r="G65">
        <f>'Dry Mass_EC'!N14</f>
        <v>2.2277777777777567E-2</v>
      </c>
      <c r="H65" s="64">
        <f>'Dry Mass_EC'!O14</f>
        <v>2.4921684741813321E-3</v>
      </c>
    </row>
    <row r="66" spans="6:8" x14ac:dyDescent="0.25">
      <c r="F66" t="s">
        <v>171</v>
      </c>
      <c r="G66">
        <f>'Dry Mass_EC'!AC14</f>
        <v>3.0259999999999981E-2</v>
      </c>
      <c r="H66" s="64">
        <f>'Dry Mass_EC'!AD14</f>
        <v>3.2395541531373912E-3</v>
      </c>
    </row>
  </sheetData>
  <mergeCells count="4">
    <mergeCell ref="L2:O2"/>
    <mergeCell ref="A1:O1"/>
    <mergeCell ref="P1:AD1"/>
    <mergeCell ref="AA2:AD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D36"/>
  <sheetViews>
    <sheetView workbookViewId="0">
      <selection activeCell="J28" sqref="J28"/>
    </sheetView>
  </sheetViews>
  <sheetFormatPr defaultRowHeight="15" x14ac:dyDescent="0.25"/>
  <cols>
    <col min="1" max="1" width="5.42578125" customWidth="1"/>
    <col min="2" max="2" width="5.85546875" customWidth="1"/>
    <col min="3" max="3" width="11.85546875" customWidth="1"/>
    <col min="4" max="4" width="7" customWidth="1"/>
    <col min="5" max="5" width="13" customWidth="1"/>
    <col min="6" max="6" width="7.5703125" customWidth="1"/>
    <col min="7" max="7" width="13.85546875" customWidth="1"/>
    <col min="8" max="8" width="13.85546875" style="64" customWidth="1"/>
    <col min="9" max="9" width="10.42578125" style="28" customWidth="1"/>
    <col min="10" max="10" width="12.42578125" customWidth="1"/>
    <col min="11" max="11" width="12.7109375" customWidth="1"/>
    <col min="12" max="12" width="14.28515625" customWidth="1"/>
    <col min="13" max="13" width="14.140625" customWidth="1"/>
    <col min="14" max="14" width="9.7109375" bestFit="1" customWidth="1"/>
    <col min="18" max="18" width="10.42578125" customWidth="1"/>
    <col min="25" max="25" width="12.85546875" customWidth="1"/>
    <col min="26" max="26" width="12.42578125" customWidth="1"/>
    <col min="27" max="27" width="11.28515625" customWidth="1"/>
    <col min="28" max="28" width="14.140625" customWidth="1"/>
  </cols>
  <sheetData>
    <row r="1" spans="1:30" ht="15.75" thickBot="1" x14ac:dyDescent="0.3">
      <c r="A1" s="230" t="s">
        <v>155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  <c r="P1" s="230" t="s">
        <v>154</v>
      </c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2"/>
    </row>
    <row r="2" spans="1:30" ht="28.5" customHeight="1" x14ac:dyDescent="0.25">
      <c r="A2" s="106" t="s">
        <v>73</v>
      </c>
      <c r="B2" s="107" t="s">
        <v>72</v>
      </c>
      <c r="C2" s="107" t="s">
        <v>71</v>
      </c>
      <c r="D2" s="107" t="s">
        <v>0</v>
      </c>
      <c r="E2" s="107" t="s">
        <v>70</v>
      </c>
      <c r="F2" s="107" t="s">
        <v>69</v>
      </c>
      <c r="G2" s="107" t="s">
        <v>68</v>
      </c>
      <c r="H2" s="108" t="s">
        <v>67</v>
      </c>
      <c r="I2" s="107" t="s">
        <v>60</v>
      </c>
      <c r="J2" s="107" t="s">
        <v>66</v>
      </c>
      <c r="K2" s="107" t="s">
        <v>65</v>
      </c>
      <c r="L2" s="263" t="s">
        <v>64</v>
      </c>
      <c r="M2" s="264"/>
      <c r="N2" s="264"/>
      <c r="O2" s="265"/>
      <c r="P2" s="92" t="s">
        <v>73</v>
      </c>
      <c r="Q2" s="93" t="s">
        <v>72</v>
      </c>
      <c r="R2" s="93" t="s">
        <v>71</v>
      </c>
      <c r="S2" s="93" t="s">
        <v>0</v>
      </c>
      <c r="T2" s="93" t="s">
        <v>70</v>
      </c>
      <c r="U2" s="93" t="s">
        <v>69</v>
      </c>
      <c r="V2" s="93" t="s">
        <v>68</v>
      </c>
      <c r="W2" s="91" t="s">
        <v>67</v>
      </c>
      <c r="X2" s="93" t="s">
        <v>60</v>
      </c>
      <c r="Y2" s="93" t="s">
        <v>66</v>
      </c>
      <c r="Z2" s="93" t="s">
        <v>65</v>
      </c>
      <c r="AA2" s="260" t="s">
        <v>64</v>
      </c>
      <c r="AB2" s="261"/>
      <c r="AC2" s="261"/>
      <c r="AD2" s="262"/>
    </row>
    <row r="3" spans="1:30" x14ac:dyDescent="0.25">
      <c r="A3" s="14">
        <v>201</v>
      </c>
      <c r="B3" s="5" t="s">
        <v>89</v>
      </c>
      <c r="C3" s="5" t="s">
        <v>83</v>
      </c>
      <c r="D3" s="5">
        <v>1</v>
      </c>
      <c r="E3" s="5">
        <v>119.4697</v>
      </c>
      <c r="F3" s="5">
        <v>7</v>
      </c>
      <c r="G3" s="10">
        <v>119.5896</v>
      </c>
      <c r="H3" s="75">
        <f t="shared" ref="H3:H5" si="0">(G3-E3)/F3</f>
        <v>1.7128571428571604E-2</v>
      </c>
      <c r="I3" s="81" t="s">
        <v>45</v>
      </c>
      <c r="J3" s="69">
        <v>43707</v>
      </c>
      <c r="K3" s="69">
        <v>43728</v>
      </c>
      <c r="L3" s="12" t="s">
        <v>63</v>
      </c>
      <c r="M3" s="3" t="s">
        <v>62</v>
      </c>
      <c r="N3" s="3" t="s">
        <v>61</v>
      </c>
      <c r="O3" s="13" t="s">
        <v>60</v>
      </c>
      <c r="P3" s="14">
        <v>108</v>
      </c>
      <c r="Q3" s="90" t="s">
        <v>94</v>
      </c>
      <c r="R3" s="5" t="s">
        <v>83</v>
      </c>
      <c r="S3" s="5">
        <v>1</v>
      </c>
      <c r="T3" s="5">
        <v>83.112300000000005</v>
      </c>
      <c r="U3" s="5">
        <v>7</v>
      </c>
      <c r="V3" s="5">
        <v>83.238299999999995</v>
      </c>
      <c r="W3" s="75">
        <f t="shared" ref="W3:W5" si="1">(V3-T3)/U3</f>
        <v>1.7999999999998652E-2</v>
      </c>
      <c r="X3" s="81" t="s">
        <v>45</v>
      </c>
      <c r="Y3" s="69">
        <v>43493</v>
      </c>
      <c r="Z3" s="69">
        <v>43665</v>
      </c>
      <c r="AA3" s="12" t="s">
        <v>63</v>
      </c>
      <c r="AB3" s="3" t="s">
        <v>62</v>
      </c>
      <c r="AC3" s="3" t="s">
        <v>61</v>
      </c>
      <c r="AD3" s="13" t="s">
        <v>60</v>
      </c>
    </row>
    <row r="4" spans="1:30" x14ac:dyDescent="0.25">
      <c r="A4" s="14">
        <v>201</v>
      </c>
      <c r="B4" s="5" t="s">
        <v>90</v>
      </c>
      <c r="C4" s="5" t="s">
        <v>83</v>
      </c>
      <c r="D4" s="5">
        <v>2</v>
      </c>
      <c r="E4" s="5">
        <v>71.513300000000001</v>
      </c>
      <c r="F4" s="5">
        <v>7</v>
      </c>
      <c r="G4" s="10">
        <v>71.669700000000006</v>
      </c>
      <c r="H4" s="75">
        <f t="shared" si="0"/>
        <v>2.2342857142857855E-2</v>
      </c>
      <c r="I4" s="81" t="s">
        <v>45</v>
      </c>
      <c r="J4" s="69">
        <v>43707</v>
      </c>
      <c r="K4" s="69">
        <v>43728</v>
      </c>
      <c r="L4" s="79">
        <v>43728</v>
      </c>
      <c r="M4" s="82">
        <v>72</v>
      </c>
      <c r="N4" s="83">
        <v>0.67</v>
      </c>
      <c r="O4" s="15" t="s">
        <v>156</v>
      </c>
      <c r="P4" s="14">
        <v>108</v>
      </c>
      <c r="Q4" s="5" t="s">
        <v>95</v>
      </c>
      <c r="R4" s="5" t="s">
        <v>83</v>
      </c>
      <c r="S4" s="5">
        <v>2</v>
      </c>
      <c r="T4" s="5">
        <v>80.862300000000005</v>
      </c>
      <c r="U4" s="5">
        <v>7</v>
      </c>
      <c r="V4" s="5">
        <v>81.014200000000002</v>
      </c>
      <c r="W4" s="75">
        <f t="shared" si="1"/>
        <v>2.1699999999999671E-2</v>
      </c>
      <c r="X4" s="81" t="s">
        <v>45</v>
      </c>
      <c r="Y4" s="69">
        <v>43493</v>
      </c>
      <c r="Z4" s="69">
        <v>43665</v>
      </c>
      <c r="AA4" s="79">
        <v>43493</v>
      </c>
      <c r="AB4" s="82">
        <v>72</v>
      </c>
      <c r="AC4" s="83">
        <v>0.37</v>
      </c>
      <c r="AD4" s="15" t="s">
        <v>45</v>
      </c>
    </row>
    <row r="5" spans="1:30" x14ac:dyDescent="0.25">
      <c r="A5" s="14">
        <v>201</v>
      </c>
      <c r="B5" s="5" t="s">
        <v>91</v>
      </c>
      <c r="C5" s="5" t="s">
        <v>83</v>
      </c>
      <c r="D5" s="5">
        <v>3</v>
      </c>
      <c r="E5" s="5">
        <v>91.608999999999995</v>
      </c>
      <c r="F5" s="5">
        <v>7</v>
      </c>
      <c r="G5" s="10">
        <v>91.735200000000006</v>
      </c>
      <c r="H5" s="75">
        <f t="shared" si="0"/>
        <v>1.8028571428573059E-2</v>
      </c>
      <c r="I5" s="81" t="s">
        <v>45</v>
      </c>
      <c r="J5" s="69">
        <v>43707</v>
      </c>
      <c r="K5" s="69">
        <v>43728</v>
      </c>
      <c r="L5" s="79">
        <v>43770</v>
      </c>
      <c r="M5" s="82">
        <v>70</v>
      </c>
      <c r="N5" s="83">
        <v>0.38</v>
      </c>
      <c r="O5" s="15" t="s">
        <v>45</v>
      </c>
      <c r="P5" s="14">
        <v>108</v>
      </c>
      <c r="Q5" s="5" t="s">
        <v>96</v>
      </c>
      <c r="R5" s="5" t="s">
        <v>83</v>
      </c>
      <c r="S5" s="5">
        <v>3</v>
      </c>
      <c r="T5" s="5">
        <v>87.1858</v>
      </c>
      <c r="U5" s="5">
        <v>7</v>
      </c>
      <c r="V5" s="5">
        <v>87.391800000000003</v>
      </c>
      <c r="W5" s="75">
        <f t="shared" si="1"/>
        <v>2.9428571428571866E-2</v>
      </c>
      <c r="X5" s="81" t="s">
        <v>45</v>
      </c>
      <c r="Y5" s="69">
        <v>43493</v>
      </c>
      <c r="Z5" s="69">
        <v>43665</v>
      </c>
      <c r="AA5" s="79">
        <v>43665</v>
      </c>
      <c r="AB5" s="71">
        <v>76</v>
      </c>
      <c r="AC5" s="70">
        <v>0.74</v>
      </c>
      <c r="AD5" s="15" t="s">
        <v>45</v>
      </c>
    </row>
    <row r="6" spans="1:30" x14ac:dyDescent="0.25">
      <c r="A6" s="100">
        <v>201</v>
      </c>
      <c r="B6" s="22" t="s">
        <v>48</v>
      </c>
      <c r="C6" s="22" t="s">
        <v>36</v>
      </c>
      <c r="D6" s="22">
        <v>1</v>
      </c>
      <c r="E6" s="22">
        <v>39.922400000000003</v>
      </c>
      <c r="F6" s="22">
        <v>7</v>
      </c>
      <c r="G6" s="22">
        <v>43.8703</v>
      </c>
      <c r="H6" s="76">
        <f t="shared" ref="H6:H14" si="2">(G6-E6)/F6</f>
        <v>0.56398571428571387</v>
      </c>
      <c r="I6" s="77" t="s">
        <v>45</v>
      </c>
      <c r="J6" s="78">
        <v>43707</v>
      </c>
      <c r="K6" s="78">
        <v>43770</v>
      </c>
      <c r="L6" s="79"/>
      <c r="M6" s="82"/>
      <c r="N6" s="83"/>
      <c r="O6" s="15"/>
      <c r="P6" s="100">
        <v>201</v>
      </c>
      <c r="Q6" s="22" t="s">
        <v>134</v>
      </c>
      <c r="R6" s="22" t="s">
        <v>36</v>
      </c>
      <c r="S6" s="22">
        <v>1</v>
      </c>
      <c r="T6" s="22">
        <v>80.698400000000007</v>
      </c>
      <c r="U6" s="22">
        <v>7</v>
      </c>
      <c r="V6" s="22">
        <v>86.031499999999994</v>
      </c>
      <c r="W6" s="76">
        <f t="shared" ref="W6:W14" si="3">(V6-T6)/U6</f>
        <v>0.76187142857142676</v>
      </c>
      <c r="X6" s="77" t="s">
        <v>45</v>
      </c>
      <c r="Y6" s="78">
        <v>43707</v>
      </c>
      <c r="Z6" s="78">
        <v>43714</v>
      </c>
      <c r="AA6" s="79">
        <v>43707</v>
      </c>
      <c r="AB6" s="82">
        <v>74</v>
      </c>
      <c r="AC6" s="83">
        <v>0.65</v>
      </c>
      <c r="AD6" s="15" t="s">
        <v>45</v>
      </c>
    </row>
    <row r="7" spans="1:30" x14ac:dyDescent="0.25">
      <c r="A7" s="100">
        <v>201</v>
      </c>
      <c r="B7" s="22" t="s">
        <v>47</v>
      </c>
      <c r="C7" s="22" t="s">
        <v>36</v>
      </c>
      <c r="D7" s="22">
        <v>2</v>
      </c>
      <c r="E7" s="22">
        <v>58.132599999999996</v>
      </c>
      <c r="F7" s="22">
        <v>7</v>
      </c>
      <c r="G7" s="22">
        <v>62.374400000000001</v>
      </c>
      <c r="H7" s="76">
        <f t="shared" si="2"/>
        <v>0.60597142857142927</v>
      </c>
      <c r="I7" s="77" t="s">
        <v>45</v>
      </c>
      <c r="J7" s="78">
        <v>43707</v>
      </c>
      <c r="K7" s="78">
        <v>43770</v>
      </c>
      <c r="L7" s="79"/>
      <c r="M7" s="82"/>
      <c r="N7" s="83"/>
      <c r="O7" s="15"/>
      <c r="P7" s="100">
        <v>201</v>
      </c>
      <c r="Q7" s="22" t="s">
        <v>135</v>
      </c>
      <c r="R7" s="22" t="s">
        <v>36</v>
      </c>
      <c r="S7" s="22">
        <v>2</v>
      </c>
      <c r="T7" s="22">
        <v>87.318700000000007</v>
      </c>
      <c r="U7" s="22">
        <v>7</v>
      </c>
      <c r="V7" s="22">
        <v>93.041499999999999</v>
      </c>
      <c r="W7" s="76">
        <f t="shared" si="3"/>
        <v>0.81754285714285602</v>
      </c>
      <c r="X7" s="77" t="s">
        <v>45</v>
      </c>
      <c r="Y7" s="78">
        <v>43707</v>
      </c>
      <c r="Z7" s="78">
        <v>43714</v>
      </c>
      <c r="AA7" s="79">
        <v>43714</v>
      </c>
      <c r="AB7" s="82">
        <v>74</v>
      </c>
      <c r="AC7" s="83">
        <v>0.66</v>
      </c>
      <c r="AD7" s="15" t="s">
        <v>45</v>
      </c>
    </row>
    <row r="8" spans="1:30" x14ac:dyDescent="0.25">
      <c r="A8" s="100">
        <v>201</v>
      </c>
      <c r="B8" s="22" t="s">
        <v>46</v>
      </c>
      <c r="C8" s="22" t="s">
        <v>36</v>
      </c>
      <c r="D8" s="22">
        <v>3</v>
      </c>
      <c r="E8" s="22">
        <v>71.969300000000004</v>
      </c>
      <c r="F8" s="22">
        <v>7</v>
      </c>
      <c r="G8" s="22">
        <v>75.477099999999993</v>
      </c>
      <c r="H8" s="76">
        <f t="shared" si="2"/>
        <v>0.50111428571428418</v>
      </c>
      <c r="I8" s="77" t="s">
        <v>45</v>
      </c>
      <c r="J8" s="78">
        <v>43707</v>
      </c>
      <c r="K8" s="78">
        <v>43770</v>
      </c>
      <c r="L8" s="14"/>
      <c r="M8" s="82"/>
      <c r="N8" s="83"/>
      <c r="O8" s="15"/>
      <c r="P8" s="100">
        <v>201</v>
      </c>
      <c r="Q8" s="22" t="s">
        <v>136</v>
      </c>
      <c r="R8" s="22" t="s">
        <v>36</v>
      </c>
      <c r="S8" s="22">
        <v>3</v>
      </c>
      <c r="T8" s="22">
        <v>121.75790000000001</v>
      </c>
      <c r="U8" s="22">
        <v>7</v>
      </c>
      <c r="V8" s="22">
        <v>126.7512</v>
      </c>
      <c r="W8" s="76">
        <f t="shared" si="3"/>
        <v>0.71332857142857009</v>
      </c>
      <c r="X8" s="77" t="s">
        <v>45</v>
      </c>
      <c r="Y8" s="78">
        <v>43707</v>
      </c>
      <c r="Z8" s="78">
        <v>43714</v>
      </c>
      <c r="AA8" s="79">
        <v>43728</v>
      </c>
      <c r="AB8" s="82">
        <v>72</v>
      </c>
      <c r="AC8" s="83">
        <v>0.67</v>
      </c>
      <c r="AD8" s="15" t="s">
        <v>156</v>
      </c>
    </row>
    <row r="9" spans="1:30" ht="15.75" thickBot="1" x14ac:dyDescent="0.3">
      <c r="A9" s="100">
        <v>201</v>
      </c>
      <c r="B9" s="22" t="s">
        <v>172</v>
      </c>
      <c r="C9" s="22" t="s">
        <v>36</v>
      </c>
      <c r="D9" s="22">
        <v>6</v>
      </c>
      <c r="E9" s="22">
        <v>96.901799999999994</v>
      </c>
      <c r="F9" s="22">
        <v>7</v>
      </c>
      <c r="G9" s="22">
        <v>100.3968</v>
      </c>
      <c r="H9" s="76">
        <f t="shared" si="2"/>
        <v>0.49928571428571494</v>
      </c>
      <c r="I9" s="77" t="s">
        <v>45</v>
      </c>
      <c r="J9" s="78">
        <v>43707</v>
      </c>
      <c r="K9" s="78">
        <v>43770</v>
      </c>
      <c r="L9" s="80"/>
      <c r="M9" s="67"/>
      <c r="N9" s="66"/>
      <c r="O9" s="65"/>
      <c r="P9" s="100">
        <v>201</v>
      </c>
      <c r="Q9" s="22" t="s">
        <v>137</v>
      </c>
      <c r="R9" s="22" t="s">
        <v>36</v>
      </c>
      <c r="S9" s="22">
        <v>6</v>
      </c>
      <c r="T9" s="22">
        <v>77.249300000000005</v>
      </c>
      <c r="U9" s="22">
        <v>7</v>
      </c>
      <c r="V9" s="22">
        <v>82.869799999999998</v>
      </c>
      <c r="W9" s="76">
        <f t="shared" si="3"/>
        <v>0.80292857142857044</v>
      </c>
      <c r="X9" s="77" t="s">
        <v>45</v>
      </c>
      <c r="Y9" s="78">
        <v>43707</v>
      </c>
      <c r="Z9" s="78">
        <v>43714</v>
      </c>
      <c r="AA9" s="160">
        <v>43735</v>
      </c>
      <c r="AB9" s="67">
        <v>72</v>
      </c>
      <c r="AC9" s="66">
        <v>0.67</v>
      </c>
      <c r="AD9" s="65" t="s">
        <v>45</v>
      </c>
    </row>
    <row r="10" spans="1:30" x14ac:dyDescent="0.25">
      <c r="A10" s="100">
        <v>201</v>
      </c>
      <c r="B10" s="22" t="s">
        <v>173</v>
      </c>
      <c r="C10" s="22" t="s">
        <v>36</v>
      </c>
      <c r="D10" s="22">
        <v>5</v>
      </c>
      <c r="E10" s="22">
        <v>62.796100000000003</v>
      </c>
      <c r="F10" s="22">
        <v>7</v>
      </c>
      <c r="G10" s="22">
        <v>66.994699999999995</v>
      </c>
      <c r="H10" s="76">
        <f t="shared" si="2"/>
        <v>0.59979999999999889</v>
      </c>
      <c r="I10" s="77" t="s">
        <v>45</v>
      </c>
      <c r="J10" s="78">
        <v>43707</v>
      </c>
      <c r="K10" s="78">
        <v>43770</v>
      </c>
      <c r="L10" s="5"/>
      <c r="M10" s="5"/>
      <c r="N10" s="5"/>
      <c r="O10" s="15"/>
      <c r="P10" s="100">
        <v>201</v>
      </c>
      <c r="Q10" s="22" t="s">
        <v>138</v>
      </c>
      <c r="R10" s="22" t="s">
        <v>36</v>
      </c>
      <c r="S10" s="22">
        <v>5</v>
      </c>
      <c r="T10" s="22">
        <v>74.530299999999997</v>
      </c>
      <c r="U10" s="22">
        <v>7</v>
      </c>
      <c r="V10" s="22">
        <v>79.607699999999994</v>
      </c>
      <c r="W10" s="76">
        <f t="shared" si="3"/>
        <v>0.72534285714285673</v>
      </c>
      <c r="X10" s="77" t="s">
        <v>45</v>
      </c>
      <c r="Y10" s="78">
        <v>43707</v>
      </c>
      <c r="Z10" s="78">
        <v>43714</v>
      </c>
      <c r="AA10" s="5"/>
      <c r="AB10" s="5"/>
      <c r="AC10" s="5"/>
      <c r="AD10" s="15"/>
    </row>
    <row r="11" spans="1:30" x14ac:dyDescent="0.25">
      <c r="A11" s="100">
        <v>201</v>
      </c>
      <c r="B11" s="22" t="s">
        <v>174</v>
      </c>
      <c r="C11" s="22" t="s">
        <v>36</v>
      </c>
      <c r="D11" s="22">
        <v>6</v>
      </c>
      <c r="E11" s="22">
        <v>94.710499999999996</v>
      </c>
      <c r="F11" s="22">
        <v>7</v>
      </c>
      <c r="G11" s="22">
        <v>97.985100000000003</v>
      </c>
      <c r="H11" s="76">
        <f t="shared" si="2"/>
        <v>0.46780000000000094</v>
      </c>
      <c r="I11" s="77" t="s">
        <v>45</v>
      </c>
      <c r="J11" s="78">
        <v>43707</v>
      </c>
      <c r="K11" s="78">
        <v>43770</v>
      </c>
      <c r="L11" s="5"/>
      <c r="M11" s="5"/>
      <c r="N11" s="3" t="s">
        <v>4</v>
      </c>
      <c r="O11" s="13" t="s">
        <v>74</v>
      </c>
      <c r="P11" s="100">
        <v>201</v>
      </c>
      <c r="Q11" s="22" t="s">
        <v>139</v>
      </c>
      <c r="R11" s="22" t="s">
        <v>36</v>
      </c>
      <c r="S11" s="22">
        <v>6</v>
      </c>
      <c r="T11" s="22">
        <v>84.347200000000001</v>
      </c>
      <c r="U11" s="22">
        <v>7</v>
      </c>
      <c r="V11" s="22">
        <v>89.654899999999998</v>
      </c>
      <c r="W11" s="76">
        <f t="shared" si="3"/>
        <v>0.75824285714285666</v>
      </c>
      <c r="X11" s="77" t="s">
        <v>45</v>
      </c>
      <c r="Y11" s="78">
        <v>43707</v>
      </c>
      <c r="Z11" s="78">
        <v>43714</v>
      </c>
      <c r="AA11" s="5"/>
      <c r="AB11" s="5"/>
      <c r="AC11" s="3" t="s">
        <v>4</v>
      </c>
      <c r="AD11" s="13" t="s">
        <v>74</v>
      </c>
    </row>
    <row r="12" spans="1:30" x14ac:dyDescent="0.25">
      <c r="A12" s="42">
        <v>201</v>
      </c>
      <c r="B12" s="10" t="s">
        <v>121</v>
      </c>
      <c r="C12" s="10" t="s">
        <v>84</v>
      </c>
      <c r="D12" s="10">
        <v>1</v>
      </c>
      <c r="E12" s="10">
        <v>74.238399999999999</v>
      </c>
      <c r="F12" s="10">
        <v>15</v>
      </c>
      <c r="G12" s="10">
        <v>74.600499999999997</v>
      </c>
      <c r="H12" s="72">
        <f t="shared" si="2"/>
        <v>2.4139999999999873E-2</v>
      </c>
      <c r="I12" s="73" t="s">
        <v>45</v>
      </c>
      <c r="J12" s="74">
        <v>43707</v>
      </c>
      <c r="K12" s="74">
        <v>43770</v>
      </c>
      <c r="L12" s="5"/>
      <c r="M12" s="5" t="s">
        <v>75</v>
      </c>
      <c r="N12" s="75">
        <f>AVERAGE(H3:H5)</f>
        <v>1.9166666666667508E-2</v>
      </c>
      <c r="O12" s="15">
        <f>STDEV(H3:H5)</f>
        <v>2.787227916009446E-3</v>
      </c>
      <c r="P12" s="42">
        <v>201</v>
      </c>
      <c r="Q12" s="10" t="s">
        <v>131</v>
      </c>
      <c r="R12" s="10" t="s">
        <v>84</v>
      </c>
      <c r="S12" s="10">
        <v>1</v>
      </c>
      <c r="T12" s="10">
        <v>81.310199999999995</v>
      </c>
      <c r="U12" s="10">
        <v>15</v>
      </c>
      <c r="V12" s="10">
        <v>81.805499999999995</v>
      </c>
      <c r="W12" s="72">
        <f t="shared" si="3"/>
        <v>3.3020000000000022E-2</v>
      </c>
      <c r="X12" s="73" t="s">
        <v>45</v>
      </c>
      <c r="Y12" s="74">
        <v>43707</v>
      </c>
      <c r="Z12" s="74">
        <v>43714</v>
      </c>
      <c r="AA12" s="5"/>
      <c r="AB12" s="5" t="s">
        <v>157</v>
      </c>
      <c r="AC12" s="75">
        <f>AVERAGE(W3:W5)</f>
        <v>2.3042857142856726E-2</v>
      </c>
      <c r="AD12" s="15">
        <f>STDEV(W3:W5)</f>
        <v>5.8314243718059055E-3</v>
      </c>
    </row>
    <row r="13" spans="1:30" x14ac:dyDescent="0.25">
      <c r="A13" s="42">
        <v>201</v>
      </c>
      <c r="B13" s="10" t="s">
        <v>122</v>
      </c>
      <c r="C13" s="10" t="s">
        <v>84</v>
      </c>
      <c r="D13" s="10">
        <v>2</v>
      </c>
      <c r="E13" s="10">
        <v>60.753300000000003</v>
      </c>
      <c r="F13" s="10">
        <v>15</v>
      </c>
      <c r="G13" s="10">
        <v>61.101999999999997</v>
      </c>
      <c r="H13" s="72">
        <f t="shared" si="2"/>
        <v>2.3246666666666253E-2</v>
      </c>
      <c r="I13" s="73" t="s">
        <v>45</v>
      </c>
      <c r="J13" s="74">
        <v>43707</v>
      </c>
      <c r="K13" s="74">
        <v>43770</v>
      </c>
      <c r="L13" s="5"/>
      <c r="M13" s="5" t="s">
        <v>76</v>
      </c>
      <c r="N13" s="75">
        <f>AVERAGE(H6:H11)</f>
        <v>0.53965952380952364</v>
      </c>
      <c r="O13" s="15">
        <f>STDEV(H6:H11)</f>
        <v>5.8112787181596952E-2</v>
      </c>
      <c r="P13" s="42">
        <v>201</v>
      </c>
      <c r="Q13" s="10" t="s">
        <v>132</v>
      </c>
      <c r="R13" s="10" t="s">
        <v>84</v>
      </c>
      <c r="S13" s="10">
        <v>2</v>
      </c>
      <c r="T13" s="10">
        <v>95.508899999999997</v>
      </c>
      <c r="U13" s="10">
        <v>15</v>
      </c>
      <c r="V13" s="10">
        <v>95.909300000000002</v>
      </c>
      <c r="W13" s="72">
        <f t="shared" si="3"/>
        <v>2.6693333333333649E-2</v>
      </c>
      <c r="X13" s="73" t="s">
        <v>45</v>
      </c>
      <c r="Y13" s="74">
        <v>43707</v>
      </c>
      <c r="Z13" s="74">
        <v>43714</v>
      </c>
      <c r="AA13" s="5"/>
      <c r="AB13" s="5" t="s">
        <v>158</v>
      </c>
      <c r="AC13" s="75">
        <f>AVERAGE(W6:W11)</f>
        <v>0.76320952380952267</v>
      </c>
      <c r="AD13" s="15">
        <f>STDEV(W6:W11)</f>
        <v>4.1178066944417224E-2</v>
      </c>
    </row>
    <row r="14" spans="1:30" x14ac:dyDescent="0.25">
      <c r="A14" s="42">
        <v>201</v>
      </c>
      <c r="B14" s="10" t="s">
        <v>50</v>
      </c>
      <c r="C14" s="10" t="s">
        <v>84</v>
      </c>
      <c r="D14" s="10">
        <v>3</v>
      </c>
      <c r="E14" s="10">
        <v>42.235500000000002</v>
      </c>
      <c r="F14" s="10">
        <v>15</v>
      </c>
      <c r="G14" s="10">
        <v>42.527200000000001</v>
      </c>
      <c r="H14" s="72">
        <f t="shared" si="2"/>
        <v>1.9446666666666581E-2</v>
      </c>
      <c r="I14" s="73" t="s">
        <v>45</v>
      </c>
      <c r="J14" s="74">
        <v>43707</v>
      </c>
      <c r="K14" s="74">
        <v>43770</v>
      </c>
      <c r="L14" s="5"/>
      <c r="M14" s="5" t="s">
        <v>77</v>
      </c>
      <c r="N14" s="75">
        <f>AVERAGE(H12:H14)</f>
        <v>2.2277777777777567E-2</v>
      </c>
      <c r="O14" s="15">
        <f>STDEV(H12:H14)</f>
        <v>2.4921684741813321E-3</v>
      </c>
      <c r="P14" s="42">
        <v>201</v>
      </c>
      <c r="Q14" s="10" t="s">
        <v>133</v>
      </c>
      <c r="R14" s="10" t="s">
        <v>84</v>
      </c>
      <c r="S14" s="10">
        <v>3</v>
      </c>
      <c r="T14" s="10">
        <v>99.835800000000006</v>
      </c>
      <c r="U14" s="10">
        <v>15</v>
      </c>
      <c r="V14" s="10">
        <v>100.3018</v>
      </c>
      <c r="W14" s="72">
        <f t="shared" si="3"/>
        <v>3.1066666666666264E-2</v>
      </c>
      <c r="X14" s="73" t="s">
        <v>45</v>
      </c>
      <c r="Y14" s="74">
        <v>43707</v>
      </c>
      <c r="Z14" s="74">
        <v>43714</v>
      </c>
      <c r="AA14" s="5"/>
      <c r="AB14" s="5" t="s">
        <v>159</v>
      </c>
      <c r="AC14" s="75">
        <f>AVERAGE(W12:W14)</f>
        <v>3.0259999999999981E-2</v>
      </c>
      <c r="AD14" s="15">
        <f>STDEV(W12:W14)</f>
        <v>3.2395541531373912E-3</v>
      </c>
    </row>
    <row r="15" spans="1:30" x14ac:dyDescent="0.25">
      <c r="A15" s="266" t="s">
        <v>177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5"/>
      <c r="M15" s="5"/>
      <c r="N15" s="75"/>
      <c r="O15" s="15"/>
      <c r="P15" s="100">
        <v>201</v>
      </c>
      <c r="Q15" s="22" t="s">
        <v>52</v>
      </c>
      <c r="R15" s="22" t="s">
        <v>85</v>
      </c>
      <c r="S15" s="22">
        <v>1</v>
      </c>
      <c r="T15" s="22">
        <v>149.3158</v>
      </c>
      <c r="U15" s="22">
        <v>7</v>
      </c>
      <c r="V15" s="22">
        <v>152.89769999999999</v>
      </c>
      <c r="W15" s="76">
        <f t="shared" ref="W15:W17" si="4">(V15-T15)/U15</f>
        <v>0.5116999999999986</v>
      </c>
      <c r="X15" s="77" t="s">
        <v>45</v>
      </c>
      <c r="Y15" s="78">
        <v>43707</v>
      </c>
      <c r="Z15" s="78">
        <v>43728</v>
      </c>
      <c r="AA15" s="5"/>
      <c r="AB15" s="5" t="s">
        <v>160</v>
      </c>
      <c r="AC15" s="75">
        <f>AVERAGE(W15:W17)</f>
        <v>0.48524761904761854</v>
      </c>
      <c r="AD15" s="15">
        <f>STDEV(W15:W17)</f>
        <v>3.3609596337747391E-2</v>
      </c>
    </row>
    <row r="16" spans="1:30" x14ac:dyDescent="0.25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5"/>
      <c r="M16" s="5" t="s">
        <v>79</v>
      </c>
      <c r="N16" s="75">
        <f>AVERAGE(H18:H20)</f>
        <v>1.9213333333333082E-2</v>
      </c>
      <c r="O16" s="15">
        <f>STDEV(H18:H20)</f>
        <v>2.2338108942139539E-3</v>
      </c>
      <c r="P16" s="100">
        <v>201</v>
      </c>
      <c r="Q16" s="22" t="s">
        <v>51</v>
      </c>
      <c r="R16" s="22" t="s">
        <v>85</v>
      </c>
      <c r="S16" s="22">
        <v>2</v>
      </c>
      <c r="T16" s="22">
        <v>97.888800000000003</v>
      </c>
      <c r="U16" s="22">
        <v>7</v>
      </c>
      <c r="V16" s="22">
        <v>101.3651</v>
      </c>
      <c r="W16" s="76">
        <f t="shared" si="4"/>
        <v>0.49661428571428495</v>
      </c>
      <c r="X16" s="77" t="s">
        <v>45</v>
      </c>
      <c r="Y16" s="78">
        <v>43707</v>
      </c>
      <c r="Z16" s="78">
        <v>43728</v>
      </c>
      <c r="AA16" s="5"/>
      <c r="AB16" s="5" t="s">
        <v>161</v>
      </c>
      <c r="AC16" s="75">
        <f>AVERAGE(W18:W20)</f>
        <v>3.9591111111111375E-2</v>
      </c>
      <c r="AD16" s="15">
        <f>STDEV(W18:W20)</f>
        <v>5.913323312029822E-3</v>
      </c>
    </row>
    <row r="17" spans="1:30" x14ac:dyDescent="0.25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5"/>
      <c r="M17" s="5"/>
      <c r="N17" s="75"/>
      <c r="O17" s="15"/>
      <c r="P17" s="100">
        <v>201</v>
      </c>
      <c r="Q17" s="22" t="s">
        <v>88</v>
      </c>
      <c r="R17" s="22" t="s">
        <v>85</v>
      </c>
      <c r="S17" s="22">
        <v>3</v>
      </c>
      <c r="T17" s="22">
        <v>112.184</v>
      </c>
      <c r="U17" s="22">
        <v>7</v>
      </c>
      <c r="V17" s="22">
        <v>115.316</v>
      </c>
      <c r="W17" s="76">
        <f t="shared" si="4"/>
        <v>0.44742857142857212</v>
      </c>
      <c r="X17" s="77" t="s">
        <v>45</v>
      </c>
      <c r="Y17" s="78">
        <v>43707</v>
      </c>
      <c r="Z17" s="78">
        <v>43728</v>
      </c>
      <c r="AA17" s="5"/>
      <c r="AB17" s="5" t="s">
        <v>162</v>
      </c>
      <c r="AC17" s="75">
        <f>AVERAGE(W21:W23)</f>
        <v>0.42998095238095185</v>
      </c>
      <c r="AD17" s="15">
        <f>STDEV(W21:W23)</f>
        <v>1.5961901920672369E-2</v>
      </c>
    </row>
    <row r="18" spans="1:30" x14ac:dyDescent="0.25">
      <c r="A18" s="42">
        <v>102</v>
      </c>
      <c r="B18" s="10" t="s">
        <v>128</v>
      </c>
      <c r="C18" s="10" t="s">
        <v>86</v>
      </c>
      <c r="D18" s="10">
        <v>1</v>
      </c>
      <c r="E18" s="10">
        <v>77.821700000000007</v>
      </c>
      <c r="F18" s="10">
        <v>15</v>
      </c>
      <c r="G18" s="10">
        <v>78.147499999999994</v>
      </c>
      <c r="H18" s="72">
        <f>(G18-E18)/F18</f>
        <v>2.1719999999999118E-2</v>
      </c>
      <c r="I18" s="73" t="s">
        <v>45</v>
      </c>
      <c r="J18" s="74"/>
      <c r="K18" s="74"/>
      <c r="L18" s="5"/>
      <c r="M18" s="5"/>
      <c r="N18" s="3"/>
      <c r="O18" s="13"/>
      <c r="P18" s="42">
        <v>201</v>
      </c>
      <c r="Q18" s="10" t="s">
        <v>58</v>
      </c>
      <c r="R18" s="10" t="s">
        <v>86</v>
      </c>
      <c r="S18" s="10">
        <v>1</v>
      </c>
      <c r="T18" s="10">
        <v>91.6374</v>
      </c>
      <c r="U18" s="10">
        <v>15</v>
      </c>
      <c r="V18" s="10">
        <v>92.263300000000001</v>
      </c>
      <c r="W18" s="72">
        <f>(V18-T18)/U18</f>
        <v>4.1726666666666766E-2</v>
      </c>
      <c r="X18" s="73" t="s">
        <v>45</v>
      </c>
      <c r="Y18" s="74">
        <v>43707</v>
      </c>
      <c r="Z18" s="74">
        <v>43714</v>
      </c>
      <c r="AA18" s="5"/>
      <c r="AB18" s="5"/>
      <c r="AC18" s="3"/>
      <c r="AD18" s="13"/>
    </row>
    <row r="19" spans="1:30" x14ac:dyDescent="0.25">
      <c r="A19" s="42">
        <v>102</v>
      </c>
      <c r="B19" s="10" t="s">
        <v>129</v>
      </c>
      <c r="C19" s="10" t="s">
        <v>86</v>
      </c>
      <c r="D19" s="10">
        <v>2</v>
      </c>
      <c r="E19" s="10">
        <v>64.155100000000004</v>
      </c>
      <c r="F19" s="10">
        <v>15</v>
      </c>
      <c r="G19" s="10">
        <v>64.416600000000003</v>
      </c>
      <c r="H19" s="72">
        <f>(G19-E19)/F19</f>
        <v>1.7433333333333204E-2</v>
      </c>
      <c r="I19" s="73" t="s">
        <v>45</v>
      </c>
      <c r="J19" s="74"/>
      <c r="K19" s="74"/>
      <c r="L19" s="5"/>
      <c r="M19" s="5"/>
      <c r="N19" s="5"/>
      <c r="O19" s="15"/>
      <c r="P19" s="42">
        <v>201</v>
      </c>
      <c r="Q19" s="10" t="s">
        <v>57</v>
      </c>
      <c r="R19" s="10" t="s">
        <v>86</v>
      </c>
      <c r="S19" s="10">
        <v>2</v>
      </c>
      <c r="T19" s="10">
        <v>119.11499999999999</v>
      </c>
      <c r="U19" s="10">
        <v>15</v>
      </c>
      <c r="V19" s="10">
        <v>119.7771</v>
      </c>
      <c r="W19" s="72">
        <f>(V19-T19)/U19</f>
        <v>4.414000000000063E-2</v>
      </c>
      <c r="X19" s="73" t="s">
        <v>45</v>
      </c>
      <c r="Y19" s="74">
        <v>43707</v>
      </c>
      <c r="Z19" s="74">
        <v>43714</v>
      </c>
      <c r="AA19" s="5"/>
      <c r="AB19" s="84"/>
      <c r="AC19" s="5"/>
      <c r="AD19" s="87"/>
    </row>
    <row r="20" spans="1:30" x14ac:dyDescent="0.25">
      <c r="A20" s="42">
        <v>102</v>
      </c>
      <c r="B20" s="10" t="s">
        <v>130</v>
      </c>
      <c r="C20" s="10" t="s">
        <v>86</v>
      </c>
      <c r="D20" s="10">
        <v>3</v>
      </c>
      <c r="E20" s="10">
        <v>58.026499999999999</v>
      </c>
      <c r="F20" s="10">
        <v>15</v>
      </c>
      <c r="G20" s="10">
        <v>58.303800000000003</v>
      </c>
      <c r="H20" s="72">
        <f>(G20-E20)/F20</f>
        <v>1.8486666666666925E-2</v>
      </c>
      <c r="I20" s="73" t="s">
        <v>45</v>
      </c>
      <c r="J20" s="74"/>
      <c r="K20" s="74"/>
      <c r="L20" s="5"/>
      <c r="M20" s="5"/>
      <c r="N20" s="5"/>
      <c r="O20" s="87"/>
      <c r="P20" s="42">
        <v>201</v>
      </c>
      <c r="Q20" s="10" t="s">
        <v>56</v>
      </c>
      <c r="R20" s="10" t="s">
        <v>86</v>
      </c>
      <c r="S20" s="10">
        <v>3</v>
      </c>
      <c r="T20" s="10">
        <v>124.69710000000001</v>
      </c>
      <c r="U20" s="10">
        <v>15</v>
      </c>
      <c r="V20" s="10">
        <v>125.19070000000001</v>
      </c>
      <c r="W20" s="72">
        <f>(V20-T20)/U20</f>
        <v>3.2906666666666716E-2</v>
      </c>
      <c r="X20" s="73" t="s">
        <v>45</v>
      </c>
      <c r="Y20" s="74">
        <v>43707</v>
      </c>
      <c r="Z20" s="74">
        <v>43714</v>
      </c>
      <c r="AA20" s="5"/>
      <c r="AB20" s="84"/>
      <c r="AC20" s="5"/>
      <c r="AD20" s="87"/>
    </row>
    <row r="21" spans="1:30" x14ac:dyDescent="0.25">
      <c r="A21" s="100"/>
      <c r="B21" s="22"/>
      <c r="C21" s="22"/>
      <c r="D21" s="22"/>
      <c r="E21" s="22"/>
      <c r="F21" s="22"/>
      <c r="G21" s="22"/>
      <c r="H21" s="76"/>
      <c r="I21" s="77"/>
      <c r="J21" s="78"/>
      <c r="K21" s="22"/>
      <c r="L21" s="5"/>
      <c r="M21" s="5"/>
      <c r="N21" s="5"/>
      <c r="O21" s="15"/>
      <c r="P21" s="100">
        <v>201</v>
      </c>
      <c r="Q21" s="22" t="s">
        <v>95</v>
      </c>
      <c r="R21" s="22" t="s">
        <v>87</v>
      </c>
      <c r="S21" s="22">
        <v>1</v>
      </c>
      <c r="T21" s="22">
        <v>122.1819</v>
      </c>
      <c r="U21" s="22">
        <v>7</v>
      </c>
      <c r="V21" s="22">
        <v>125.0951</v>
      </c>
      <c r="W21" s="76">
        <f t="shared" ref="W21:W23" si="5">(V21-T21)/U21</f>
        <v>0.41617142857142903</v>
      </c>
      <c r="X21" s="77" t="s">
        <v>45</v>
      </c>
      <c r="Y21" s="78">
        <v>43707</v>
      </c>
      <c r="Z21" s="78">
        <v>43735</v>
      </c>
      <c r="AA21" s="5"/>
      <c r="AB21" s="5"/>
      <c r="AC21" s="5"/>
      <c r="AD21" s="15"/>
    </row>
    <row r="22" spans="1:30" x14ac:dyDescent="0.25">
      <c r="A22" s="100"/>
      <c r="B22" s="22"/>
      <c r="C22" s="22"/>
      <c r="D22" s="22"/>
      <c r="E22" s="22"/>
      <c r="F22" s="22"/>
      <c r="G22" s="22"/>
      <c r="H22" s="76"/>
      <c r="I22" s="77"/>
      <c r="J22" s="78"/>
      <c r="K22" s="22"/>
      <c r="L22" s="5"/>
      <c r="M22" s="5"/>
      <c r="N22" s="5"/>
      <c r="O22" s="15"/>
      <c r="P22" s="100">
        <v>201</v>
      </c>
      <c r="Q22" s="22" t="s">
        <v>96</v>
      </c>
      <c r="R22" s="22" t="s">
        <v>87</v>
      </c>
      <c r="S22" s="22">
        <v>2</v>
      </c>
      <c r="T22" s="22">
        <v>102.45010000000001</v>
      </c>
      <c r="U22" s="22">
        <v>7</v>
      </c>
      <c r="V22" s="22">
        <v>105.43429999999999</v>
      </c>
      <c r="W22" s="76">
        <f t="shared" si="5"/>
        <v>0.42631428571428387</v>
      </c>
      <c r="X22" s="77" t="s">
        <v>45</v>
      </c>
      <c r="Y22" s="78">
        <v>43707</v>
      </c>
      <c r="Z22" s="78">
        <v>43735</v>
      </c>
      <c r="AA22" s="5"/>
      <c r="AB22" s="5"/>
      <c r="AC22" s="5"/>
      <c r="AD22" s="87"/>
    </row>
    <row r="23" spans="1:30" ht="15.75" thickBot="1" x14ac:dyDescent="0.3">
      <c r="A23" s="101"/>
      <c r="B23" s="102"/>
      <c r="C23" s="102"/>
      <c r="D23" s="102"/>
      <c r="E23" s="102"/>
      <c r="F23" s="102"/>
      <c r="G23" s="102"/>
      <c r="H23" s="103"/>
      <c r="I23" s="104"/>
      <c r="J23" s="105"/>
      <c r="K23" s="102"/>
      <c r="L23" s="68"/>
      <c r="M23" s="68"/>
      <c r="N23" s="68"/>
      <c r="O23" s="65"/>
      <c r="P23" s="101">
        <v>201</v>
      </c>
      <c r="Q23" s="102" t="s">
        <v>120</v>
      </c>
      <c r="R23" s="102" t="s">
        <v>87</v>
      </c>
      <c r="S23" s="102">
        <v>3</v>
      </c>
      <c r="T23" s="102">
        <v>92.497299999999996</v>
      </c>
      <c r="U23" s="102">
        <v>7</v>
      </c>
      <c r="V23" s="102">
        <v>95.629499999999993</v>
      </c>
      <c r="W23" s="103">
        <f t="shared" si="5"/>
        <v>0.4474571428571425</v>
      </c>
      <c r="X23" s="104" t="s">
        <v>45</v>
      </c>
      <c r="Y23" s="105">
        <v>43707</v>
      </c>
      <c r="Z23" s="105">
        <v>43735</v>
      </c>
      <c r="AA23" s="68"/>
      <c r="AB23" s="68"/>
      <c r="AC23" s="68"/>
      <c r="AD23" s="65"/>
    </row>
    <row r="24" spans="1:30" x14ac:dyDescent="0.25">
      <c r="A24" s="10"/>
      <c r="B24" s="5"/>
      <c r="C24" s="5"/>
      <c r="D24" s="5"/>
      <c r="E24" s="5"/>
      <c r="F24" s="5"/>
      <c r="G24" s="5"/>
      <c r="H24" s="75"/>
      <c r="I24" s="73"/>
      <c r="J24" s="74"/>
      <c r="K24" s="5"/>
      <c r="L24" s="5"/>
      <c r="M24" s="5"/>
      <c r="N24" s="5"/>
      <c r="O24" s="5"/>
    </row>
    <row r="25" spans="1:30" x14ac:dyDescent="0.25">
      <c r="A25" s="5"/>
      <c r="B25" s="5"/>
      <c r="C25" s="5"/>
      <c r="D25" s="5"/>
      <c r="E25" s="5"/>
      <c r="F25" s="5"/>
      <c r="G25" s="5"/>
      <c r="H25" s="75"/>
      <c r="I25" s="81"/>
      <c r="J25" s="5"/>
      <c r="K25" s="5"/>
      <c r="L25" s="5"/>
      <c r="M25" s="5"/>
      <c r="N25" s="5"/>
      <c r="O25" s="5"/>
    </row>
    <row r="26" spans="1:30" x14ac:dyDescent="0.25">
      <c r="A26" s="5"/>
      <c r="B26" s="5"/>
      <c r="C26" s="5"/>
      <c r="D26" s="5"/>
      <c r="E26" s="5"/>
      <c r="F26" s="5"/>
      <c r="G26" s="5"/>
      <c r="H26" s="31"/>
      <c r="I26" s="96"/>
      <c r="J26" s="36"/>
      <c r="K26" s="36"/>
      <c r="L26" s="10"/>
      <c r="M26" s="5"/>
      <c r="N26" s="5"/>
      <c r="O26" s="75"/>
    </row>
    <row r="27" spans="1:30" x14ac:dyDescent="0.25">
      <c r="A27" s="5"/>
      <c r="B27" s="5"/>
      <c r="C27" s="5"/>
      <c r="D27" s="5"/>
      <c r="E27" s="5"/>
      <c r="F27" s="5"/>
      <c r="G27" s="5"/>
      <c r="H27" s="31"/>
      <c r="I27" s="220"/>
      <c r="J27" s="220"/>
      <c r="K27" s="220"/>
      <c r="L27" s="10"/>
      <c r="M27" s="5"/>
      <c r="N27" s="5"/>
      <c r="O27" s="5"/>
    </row>
    <row r="28" spans="1:30" x14ac:dyDescent="0.25">
      <c r="H28" s="31"/>
      <c r="I28" s="220"/>
      <c r="J28" s="220"/>
      <c r="K28" s="220"/>
      <c r="L28" s="31"/>
    </row>
    <row r="29" spans="1:30" x14ac:dyDescent="0.25">
      <c r="H29" s="31"/>
      <c r="I29" s="96"/>
      <c r="J29" s="96"/>
      <c r="K29" s="96"/>
      <c r="L29" s="31"/>
    </row>
    <row r="30" spans="1:30" x14ac:dyDescent="0.25">
      <c r="H30" s="31"/>
      <c r="I30" s="220"/>
      <c r="J30" s="220"/>
      <c r="K30" s="220"/>
      <c r="L30" s="31"/>
    </row>
    <row r="31" spans="1:30" x14ac:dyDescent="0.25">
      <c r="H31" s="31"/>
      <c r="I31" s="96"/>
      <c r="J31" s="96"/>
      <c r="K31" s="96"/>
      <c r="L31" s="31"/>
    </row>
    <row r="32" spans="1:30" x14ac:dyDescent="0.25">
      <c r="H32" s="31"/>
      <c r="I32" s="96"/>
      <c r="J32" s="96"/>
      <c r="K32" s="96"/>
      <c r="L32" s="31"/>
    </row>
    <row r="33" spans="8:12" x14ac:dyDescent="0.25">
      <c r="H33" s="96"/>
      <c r="I33" s="222"/>
      <c r="J33" s="31"/>
      <c r="K33" s="31"/>
      <c r="L33" s="31"/>
    </row>
    <row r="34" spans="8:12" x14ac:dyDescent="0.25">
      <c r="H34" s="96"/>
      <c r="I34" s="222"/>
      <c r="J34" s="31"/>
      <c r="K34" s="31"/>
      <c r="L34" s="31"/>
    </row>
    <row r="35" spans="8:12" x14ac:dyDescent="0.25">
      <c r="H35" s="96"/>
      <c r="I35" s="222"/>
      <c r="J35" s="31"/>
      <c r="K35" s="31"/>
      <c r="L35" s="31"/>
    </row>
    <row r="36" spans="8:12" x14ac:dyDescent="0.25">
      <c r="H36" s="96"/>
      <c r="I36" s="222"/>
      <c r="J36" s="31"/>
      <c r="K36" s="31"/>
      <c r="L36" s="31"/>
    </row>
  </sheetData>
  <mergeCells count="5">
    <mergeCell ref="A1:O1"/>
    <mergeCell ref="P1:AD1"/>
    <mergeCell ref="L2:O2"/>
    <mergeCell ref="AA2:AD2"/>
    <mergeCell ref="A15:K17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I114"/>
  <sheetViews>
    <sheetView zoomScaleNormal="100" workbookViewId="0">
      <selection activeCell="E119" sqref="E119"/>
    </sheetView>
  </sheetViews>
  <sheetFormatPr defaultRowHeight="15" x14ac:dyDescent="0.25"/>
  <cols>
    <col min="2" max="2" width="8.5703125" customWidth="1"/>
    <col min="3" max="3" width="8.42578125" style="29" customWidth="1"/>
    <col min="4" max="4" width="8.5703125" style="29" customWidth="1"/>
    <col min="5" max="5" width="8" style="179" customWidth="1"/>
    <col min="6" max="6" width="11.140625" style="29" customWidth="1"/>
    <col min="7" max="7" width="11.7109375" customWidth="1"/>
    <col min="8" max="8" width="11.85546875" customWidth="1"/>
  </cols>
  <sheetData>
    <row r="1" spans="1:9" x14ac:dyDescent="0.25">
      <c r="A1" s="238" t="s">
        <v>105</v>
      </c>
      <c r="B1" s="239"/>
      <c r="C1" s="239"/>
      <c r="D1" s="239"/>
      <c r="E1" s="239"/>
      <c r="F1" s="240"/>
      <c r="G1" s="99"/>
      <c r="H1" s="99"/>
    </row>
    <row r="2" spans="1:9" ht="33.75" customHeight="1" x14ac:dyDescent="0.25">
      <c r="A2" s="12" t="s">
        <v>63</v>
      </c>
      <c r="B2" s="121" t="s">
        <v>118</v>
      </c>
      <c r="C2" s="120" t="s">
        <v>106</v>
      </c>
      <c r="D2" s="120" t="s">
        <v>107</v>
      </c>
      <c r="E2" s="174" t="s">
        <v>119</v>
      </c>
      <c r="F2" s="202" t="s">
        <v>108</v>
      </c>
      <c r="G2" s="27"/>
      <c r="H2" s="27"/>
    </row>
    <row r="3" spans="1:9" x14ac:dyDescent="0.25">
      <c r="A3" s="155">
        <v>43606</v>
      </c>
      <c r="B3" s="5">
        <v>411</v>
      </c>
      <c r="C3" s="113">
        <v>8.11</v>
      </c>
      <c r="D3" s="113">
        <v>6.62</v>
      </c>
      <c r="E3" s="175">
        <v>22.5</v>
      </c>
      <c r="F3" s="203">
        <v>0.25</v>
      </c>
      <c r="G3" s="28"/>
      <c r="H3" s="28"/>
    </row>
    <row r="4" spans="1:9" x14ac:dyDescent="0.25">
      <c r="A4" s="155">
        <v>43607</v>
      </c>
      <c r="B4" s="5">
        <v>518</v>
      </c>
      <c r="C4" s="113">
        <v>7.66</v>
      </c>
      <c r="D4" s="113">
        <v>6.33</v>
      </c>
      <c r="E4" s="175">
        <v>22.8</v>
      </c>
      <c r="F4" s="203">
        <v>0</v>
      </c>
      <c r="G4" s="28"/>
      <c r="H4" s="28"/>
    </row>
    <row r="5" spans="1:9" x14ac:dyDescent="0.25">
      <c r="A5" s="155">
        <v>43609</v>
      </c>
      <c r="B5" s="81" t="s">
        <v>113</v>
      </c>
      <c r="C5" s="113">
        <v>7.86</v>
      </c>
      <c r="D5" s="172" t="s">
        <v>113</v>
      </c>
      <c r="E5" s="176" t="s">
        <v>113</v>
      </c>
      <c r="F5" s="203">
        <v>0.25</v>
      </c>
      <c r="G5" s="28"/>
      <c r="H5" s="28"/>
    </row>
    <row r="6" spans="1:9" x14ac:dyDescent="0.25">
      <c r="A6" s="155">
        <v>43613</v>
      </c>
      <c r="B6" s="5">
        <v>375</v>
      </c>
      <c r="C6" s="113">
        <v>7.74</v>
      </c>
      <c r="D6" s="113">
        <v>6.65</v>
      </c>
      <c r="E6" s="175">
        <v>26.6</v>
      </c>
      <c r="F6" s="203">
        <v>0</v>
      </c>
      <c r="G6" s="28"/>
      <c r="H6" s="28"/>
    </row>
    <row r="7" spans="1:9" x14ac:dyDescent="0.25">
      <c r="A7" s="156" t="s">
        <v>111</v>
      </c>
      <c r="B7" s="58">
        <f>AVERAGE(B3:B6)</f>
        <v>434.66666666666669</v>
      </c>
      <c r="C7" s="58">
        <f>AVERAGE(C3:C6)</f>
        <v>7.8424999999999994</v>
      </c>
      <c r="D7" s="58">
        <f>AVERAGE(D3:D6)</f>
        <v>6.5333333333333341</v>
      </c>
      <c r="E7" s="177">
        <f>AVERAGE(E3:E6)</f>
        <v>23.966666666666669</v>
      </c>
      <c r="F7" s="59">
        <f>AVERAGE(F3:F6)</f>
        <v>0.125</v>
      </c>
      <c r="G7" s="98"/>
      <c r="H7" s="98"/>
    </row>
    <row r="8" spans="1:9" x14ac:dyDescent="0.25">
      <c r="A8" s="156" t="s">
        <v>112</v>
      </c>
      <c r="B8" s="58">
        <f>_xlfn.STDEV.S(B3:B6)</f>
        <v>74.379656716963368</v>
      </c>
      <c r="C8" s="58">
        <f>_xlfn.STDEV.S(C3:C6)</f>
        <v>0.1963627595378849</v>
      </c>
      <c r="D8" s="58">
        <f>_xlfn.STDEV.S(D3:D6)</f>
        <v>0.1767295485574876</v>
      </c>
      <c r="E8" s="177">
        <f>_xlfn.STDEV.S(E3:E6)</f>
        <v>2.2854612955229272</v>
      </c>
      <c r="F8" s="59">
        <f>_xlfn.STDEV.S(F3:F6)</f>
        <v>0.14433756729740643</v>
      </c>
      <c r="G8" s="98"/>
      <c r="H8" s="98"/>
    </row>
    <row r="9" spans="1:9" x14ac:dyDescent="0.25">
      <c r="A9" s="156" t="s">
        <v>114</v>
      </c>
      <c r="B9" s="19">
        <f>MIN(B3:B6)</f>
        <v>375</v>
      </c>
      <c r="C9" s="58">
        <f>MIN(C3:C6)</f>
        <v>7.66</v>
      </c>
      <c r="D9" s="58">
        <f>MIN(D3:D6)</f>
        <v>6.33</v>
      </c>
      <c r="E9" s="177">
        <f>MIN(E3:E6)</f>
        <v>22.5</v>
      </c>
      <c r="F9" s="59">
        <f>MIN(F3:F6)</f>
        <v>0</v>
      </c>
      <c r="G9" s="98"/>
      <c r="H9" s="98"/>
    </row>
    <row r="10" spans="1:9" ht="15.75" thickBot="1" x14ac:dyDescent="0.3">
      <c r="A10" s="156" t="s">
        <v>115</v>
      </c>
      <c r="B10" s="19">
        <f>MAX(B3:B6)</f>
        <v>518</v>
      </c>
      <c r="C10" s="58">
        <f>MAX(C3:C6)</f>
        <v>8.11</v>
      </c>
      <c r="D10" s="58">
        <f>MAX(D3:D6)</f>
        <v>6.65</v>
      </c>
      <c r="E10" s="177">
        <f>MAX(E3:E6)</f>
        <v>26.6</v>
      </c>
      <c r="F10" s="59">
        <f>MAX(F3:F6)</f>
        <v>0.25</v>
      </c>
      <c r="G10" s="98"/>
      <c r="H10" s="98"/>
    </row>
    <row r="11" spans="1:9" x14ac:dyDescent="0.25">
      <c r="A11" s="238" t="s">
        <v>116</v>
      </c>
      <c r="B11" s="239"/>
      <c r="C11" s="239"/>
      <c r="D11" s="239"/>
      <c r="E11" s="239"/>
      <c r="F11" s="239"/>
      <c r="G11" s="239"/>
      <c r="H11" s="239"/>
      <c r="I11" s="240"/>
    </row>
    <row r="12" spans="1:9" ht="30" x14ac:dyDescent="0.25">
      <c r="A12" s="12" t="s">
        <v>63</v>
      </c>
      <c r="B12" s="121" t="s">
        <v>118</v>
      </c>
      <c r="C12" s="120" t="s">
        <v>106</v>
      </c>
      <c r="D12" s="120" t="s">
        <v>107</v>
      </c>
      <c r="E12" s="174" t="s">
        <v>119</v>
      </c>
      <c r="F12" s="120" t="s">
        <v>108</v>
      </c>
      <c r="G12" s="121" t="s">
        <v>109</v>
      </c>
      <c r="H12" s="121" t="s">
        <v>110</v>
      </c>
      <c r="I12" s="127" t="s">
        <v>0</v>
      </c>
    </row>
    <row r="13" spans="1:9" x14ac:dyDescent="0.25">
      <c r="A13" s="155">
        <v>43614</v>
      </c>
      <c r="B13" s="5">
        <v>488</v>
      </c>
      <c r="C13" s="113">
        <v>7.88</v>
      </c>
      <c r="D13" s="113">
        <v>6.29</v>
      </c>
      <c r="E13" s="175">
        <v>25.2</v>
      </c>
      <c r="F13" s="113">
        <v>0</v>
      </c>
      <c r="G13" s="5">
        <v>80</v>
      </c>
      <c r="H13" s="5">
        <v>150</v>
      </c>
      <c r="I13" s="15">
        <v>1</v>
      </c>
    </row>
    <row r="14" spans="1:9" x14ac:dyDescent="0.25">
      <c r="A14" s="155">
        <v>43614</v>
      </c>
      <c r="B14" s="5">
        <v>564</v>
      </c>
      <c r="C14" s="113">
        <v>7.45</v>
      </c>
      <c r="D14" s="113">
        <v>6.43</v>
      </c>
      <c r="E14" s="175">
        <v>25.1</v>
      </c>
      <c r="F14" s="113">
        <v>0</v>
      </c>
      <c r="G14" s="5">
        <v>80</v>
      </c>
      <c r="H14" s="5">
        <v>150</v>
      </c>
      <c r="I14" s="15">
        <v>4</v>
      </c>
    </row>
    <row r="15" spans="1:9" x14ac:dyDescent="0.25">
      <c r="A15" s="155">
        <v>43614</v>
      </c>
      <c r="B15" s="5">
        <v>487</v>
      </c>
      <c r="C15" s="113">
        <v>7.76</v>
      </c>
      <c r="D15" s="113">
        <v>6.62</v>
      </c>
      <c r="E15" s="175">
        <v>24.8</v>
      </c>
      <c r="F15" s="113">
        <v>0</v>
      </c>
      <c r="G15" s="5">
        <v>80</v>
      </c>
      <c r="H15" s="5">
        <v>150</v>
      </c>
      <c r="I15" s="15">
        <v>12</v>
      </c>
    </row>
    <row r="16" spans="1:9" x14ac:dyDescent="0.25">
      <c r="A16" s="155">
        <v>43616</v>
      </c>
      <c r="B16" s="5">
        <v>482</v>
      </c>
      <c r="C16" s="113">
        <v>8.2899999999999991</v>
      </c>
      <c r="D16" s="113">
        <v>6.5</v>
      </c>
      <c r="E16" s="175">
        <v>23.5</v>
      </c>
      <c r="F16" s="113">
        <v>0</v>
      </c>
      <c r="G16" s="81" t="s">
        <v>113</v>
      </c>
      <c r="H16" s="81" t="s">
        <v>113</v>
      </c>
      <c r="I16" s="15">
        <v>16</v>
      </c>
    </row>
    <row r="17" spans="1:9" x14ac:dyDescent="0.25">
      <c r="A17" s="155">
        <v>43616</v>
      </c>
      <c r="B17" s="5">
        <v>435</v>
      </c>
      <c r="C17" s="113">
        <v>8.68</v>
      </c>
      <c r="D17" s="113">
        <v>6.72</v>
      </c>
      <c r="E17" s="175">
        <v>23.9</v>
      </c>
      <c r="F17" s="113">
        <v>0</v>
      </c>
      <c r="G17" s="81" t="s">
        <v>113</v>
      </c>
      <c r="H17" s="81" t="s">
        <v>113</v>
      </c>
      <c r="I17" s="15">
        <v>21</v>
      </c>
    </row>
    <row r="18" spans="1:9" x14ac:dyDescent="0.25">
      <c r="A18" s="155">
        <v>43616</v>
      </c>
      <c r="B18" s="5">
        <v>429</v>
      </c>
      <c r="C18" s="113">
        <v>7.98</v>
      </c>
      <c r="D18" s="113">
        <v>7.02</v>
      </c>
      <c r="E18" s="175">
        <v>24</v>
      </c>
      <c r="F18" s="113">
        <v>0</v>
      </c>
      <c r="G18" s="81" t="s">
        <v>113</v>
      </c>
      <c r="H18" s="81" t="s">
        <v>113</v>
      </c>
      <c r="I18" s="15">
        <v>27</v>
      </c>
    </row>
    <row r="19" spans="1:9" x14ac:dyDescent="0.25">
      <c r="A19" s="155">
        <v>43619</v>
      </c>
      <c r="B19" s="5">
        <v>437</v>
      </c>
      <c r="C19" s="113">
        <v>7.02</v>
      </c>
      <c r="D19" s="113">
        <v>6.56</v>
      </c>
      <c r="E19" s="175">
        <v>23.7</v>
      </c>
      <c r="F19" s="113">
        <v>0</v>
      </c>
      <c r="G19" s="5">
        <v>60</v>
      </c>
      <c r="H19" s="5">
        <v>75</v>
      </c>
      <c r="I19" s="15">
        <v>3</v>
      </c>
    </row>
    <row r="20" spans="1:9" x14ac:dyDescent="0.25">
      <c r="A20" s="155">
        <v>43619</v>
      </c>
      <c r="B20" s="5">
        <v>415</v>
      </c>
      <c r="C20" s="113">
        <v>7.72</v>
      </c>
      <c r="D20" s="113">
        <v>6.79</v>
      </c>
      <c r="E20" s="175">
        <v>23.9</v>
      </c>
      <c r="F20" s="113">
        <v>0</v>
      </c>
      <c r="G20" s="5">
        <v>60</v>
      </c>
      <c r="H20" s="5">
        <v>150</v>
      </c>
      <c r="I20" s="15">
        <v>15</v>
      </c>
    </row>
    <row r="21" spans="1:9" x14ac:dyDescent="0.25">
      <c r="A21" s="155">
        <v>43619</v>
      </c>
      <c r="B21" s="5">
        <v>410</v>
      </c>
      <c r="C21" s="113">
        <v>8.7799999999999994</v>
      </c>
      <c r="D21" s="113">
        <v>7.2</v>
      </c>
      <c r="E21" s="175">
        <v>24.4</v>
      </c>
      <c r="F21" s="113">
        <v>0</v>
      </c>
      <c r="G21" s="5">
        <v>60</v>
      </c>
      <c r="H21" s="5">
        <v>150</v>
      </c>
      <c r="I21" s="15">
        <v>26</v>
      </c>
    </row>
    <row r="22" spans="1:9" x14ac:dyDescent="0.25">
      <c r="A22" s="155">
        <v>43621</v>
      </c>
      <c r="B22" s="5">
        <v>374</v>
      </c>
      <c r="C22" s="113">
        <v>7.63</v>
      </c>
      <c r="D22" s="113">
        <v>6.66</v>
      </c>
      <c r="E22" s="175">
        <v>25</v>
      </c>
      <c r="F22" s="113">
        <v>0</v>
      </c>
      <c r="G22" s="81" t="s">
        <v>113</v>
      </c>
      <c r="H22" s="81" t="s">
        <v>113</v>
      </c>
      <c r="I22" s="15">
        <v>7</v>
      </c>
    </row>
    <row r="23" spans="1:9" x14ac:dyDescent="0.25">
      <c r="A23" s="155">
        <v>43621</v>
      </c>
      <c r="B23" s="5">
        <v>378</v>
      </c>
      <c r="C23" s="113">
        <v>7.6</v>
      </c>
      <c r="D23" s="113">
        <v>6.99</v>
      </c>
      <c r="E23" s="175">
        <v>25.1</v>
      </c>
      <c r="F23" s="113">
        <v>0</v>
      </c>
      <c r="G23" s="81" t="s">
        <v>113</v>
      </c>
      <c r="H23" s="81" t="s">
        <v>113</v>
      </c>
      <c r="I23" s="15">
        <v>17</v>
      </c>
    </row>
    <row r="24" spans="1:9" x14ac:dyDescent="0.25">
      <c r="A24" s="155">
        <v>43621</v>
      </c>
      <c r="B24" s="5">
        <v>369</v>
      </c>
      <c r="C24" s="113">
        <v>7.62</v>
      </c>
      <c r="D24" s="113">
        <v>7.18</v>
      </c>
      <c r="E24" s="175">
        <v>25.1</v>
      </c>
      <c r="F24" s="113">
        <v>0</v>
      </c>
      <c r="G24" s="81" t="s">
        <v>113</v>
      </c>
      <c r="H24" s="81" t="s">
        <v>113</v>
      </c>
      <c r="I24" s="15">
        <v>31</v>
      </c>
    </row>
    <row r="25" spans="1:9" x14ac:dyDescent="0.25">
      <c r="A25" s="155">
        <v>43623</v>
      </c>
      <c r="B25" s="5">
        <v>391</v>
      </c>
      <c r="C25" s="172" t="s">
        <v>113</v>
      </c>
      <c r="D25" s="113">
        <v>9</v>
      </c>
      <c r="E25" s="175">
        <v>24.8</v>
      </c>
      <c r="F25" s="113">
        <v>0</v>
      </c>
      <c r="G25" s="81" t="s">
        <v>113</v>
      </c>
      <c r="H25" s="81" t="s">
        <v>113</v>
      </c>
      <c r="I25" s="15">
        <v>23</v>
      </c>
    </row>
    <row r="26" spans="1:9" x14ac:dyDescent="0.25">
      <c r="A26" s="155">
        <v>43623</v>
      </c>
      <c r="B26" s="5">
        <v>391</v>
      </c>
      <c r="C26" s="172" t="s">
        <v>113</v>
      </c>
      <c r="D26" s="113">
        <v>9</v>
      </c>
      <c r="E26" s="175">
        <v>24.9</v>
      </c>
      <c r="F26" s="113">
        <v>0</v>
      </c>
      <c r="G26" s="81" t="s">
        <v>113</v>
      </c>
      <c r="H26" s="81" t="s">
        <v>113</v>
      </c>
      <c r="I26" s="15">
        <v>32</v>
      </c>
    </row>
    <row r="27" spans="1:9" x14ac:dyDescent="0.25">
      <c r="A27" s="155">
        <v>43623</v>
      </c>
      <c r="B27" s="5">
        <v>396</v>
      </c>
      <c r="C27" s="172" t="s">
        <v>113</v>
      </c>
      <c r="D27" s="113">
        <v>9</v>
      </c>
      <c r="E27" s="175">
        <v>24.9</v>
      </c>
      <c r="F27" s="113">
        <v>0</v>
      </c>
      <c r="G27" s="81" t="s">
        <v>113</v>
      </c>
      <c r="H27" s="81" t="s">
        <v>113</v>
      </c>
      <c r="I27" s="15">
        <v>35</v>
      </c>
    </row>
    <row r="28" spans="1:9" x14ac:dyDescent="0.25">
      <c r="A28" s="155">
        <v>43626</v>
      </c>
      <c r="B28" s="5">
        <v>450</v>
      </c>
      <c r="C28" s="113">
        <v>9.51</v>
      </c>
      <c r="D28" s="113">
        <v>6.52</v>
      </c>
      <c r="E28" s="175">
        <v>23.6</v>
      </c>
      <c r="F28" s="113">
        <v>0</v>
      </c>
      <c r="G28" s="5">
        <v>60</v>
      </c>
      <c r="H28" s="5">
        <v>150</v>
      </c>
      <c r="I28" s="15">
        <v>11</v>
      </c>
    </row>
    <row r="29" spans="1:9" x14ac:dyDescent="0.25">
      <c r="A29" s="155">
        <v>43626</v>
      </c>
      <c r="B29" s="5">
        <v>438</v>
      </c>
      <c r="C29" s="113">
        <v>8.33</v>
      </c>
      <c r="D29" s="113">
        <v>6.64</v>
      </c>
      <c r="E29" s="175">
        <v>23.8</v>
      </c>
      <c r="F29" s="113">
        <v>0</v>
      </c>
      <c r="G29" s="5">
        <v>120</v>
      </c>
      <c r="H29" s="5">
        <v>150</v>
      </c>
      <c r="I29" s="15">
        <v>19</v>
      </c>
    </row>
    <row r="30" spans="1:9" x14ac:dyDescent="0.25">
      <c r="A30" s="155">
        <v>43626</v>
      </c>
      <c r="B30" s="5">
        <v>418</v>
      </c>
      <c r="C30" s="113">
        <v>8.23</v>
      </c>
      <c r="D30" s="113">
        <v>6.78</v>
      </c>
      <c r="E30" s="175">
        <v>24.5</v>
      </c>
      <c r="F30" s="113">
        <v>0</v>
      </c>
      <c r="G30" s="81">
        <v>120</v>
      </c>
      <c r="H30" s="5">
        <v>150</v>
      </c>
      <c r="I30" s="15">
        <v>30</v>
      </c>
    </row>
    <row r="31" spans="1:9" x14ac:dyDescent="0.25">
      <c r="A31" s="155">
        <v>43628</v>
      </c>
      <c r="B31" s="5">
        <v>395</v>
      </c>
      <c r="C31" s="113">
        <v>8.7799999999999994</v>
      </c>
      <c r="D31" s="113">
        <v>6.51</v>
      </c>
      <c r="E31" s="175">
        <v>24.8</v>
      </c>
      <c r="F31" s="113">
        <v>0</v>
      </c>
      <c r="G31" s="81" t="s">
        <v>113</v>
      </c>
      <c r="H31" s="81" t="s">
        <v>113</v>
      </c>
      <c r="I31" s="15">
        <v>2</v>
      </c>
    </row>
    <row r="32" spans="1:9" x14ac:dyDescent="0.25">
      <c r="A32" s="155">
        <v>43628</v>
      </c>
      <c r="B32" s="5">
        <v>408</v>
      </c>
      <c r="C32" s="113">
        <v>8.42</v>
      </c>
      <c r="D32" s="113">
        <v>6.62</v>
      </c>
      <c r="E32" s="175">
        <v>24.8</v>
      </c>
      <c r="F32" s="113">
        <v>0</v>
      </c>
      <c r="G32" s="81" t="s">
        <v>113</v>
      </c>
      <c r="H32" s="81" t="s">
        <v>113</v>
      </c>
      <c r="I32" s="15">
        <v>22</v>
      </c>
    </row>
    <row r="33" spans="1:9" x14ac:dyDescent="0.25">
      <c r="A33" s="155">
        <v>43628</v>
      </c>
      <c r="B33" s="5">
        <v>407</v>
      </c>
      <c r="C33" s="113">
        <v>8.42</v>
      </c>
      <c r="D33" s="113">
        <v>6.79</v>
      </c>
      <c r="E33" s="175">
        <v>24.9</v>
      </c>
      <c r="F33" s="113">
        <v>0</v>
      </c>
      <c r="G33" s="81" t="s">
        <v>113</v>
      </c>
      <c r="H33" s="81" t="s">
        <v>113</v>
      </c>
      <c r="I33" s="15">
        <v>34</v>
      </c>
    </row>
    <row r="34" spans="1:9" x14ac:dyDescent="0.25">
      <c r="A34" s="155">
        <v>43630</v>
      </c>
      <c r="B34" s="5">
        <v>426</v>
      </c>
      <c r="C34" s="113">
        <v>7.81</v>
      </c>
      <c r="D34" s="113">
        <v>6.81</v>
      </c>
      <c r="E34" s="175">
        <v>23.8</v>
      </c>
      <c r="F34" s="113">
        <v>0</v>
      </c>
      <c r="G34" s="81" t="s">
        <v>113</v>
      </c>
      <c r="H34" s="81" t="s">
        <v>113</v>
      </c>
      <c r="I34" s="15">
        <v>5</v>
      </c>
    </row>
    <row r="35" spans="1:9" x14ac:dyDescent="0.25">
      <c r="A35" s="155">
        <v>43630</v>
      </c>
      <c r="B35" s="5">
        <v>422</v>
      </c>
      <c r="C35" s="113">
        <v>8.19</v>
      </c>
      <c r="D35" s="113">
        <v>6.67</v>
      </c>
      <c r="E35" s="175">
        <v>23.4</v>
      </c>
      <c r="F35" s="113">
        <v>0</v>
      </c>
      <c r="G35" s="81" t="s">
        <v>113</v>
      </c>
      <c r="H35" s="81" t="s">
        <v>113</v>
      </c>
      <c r="I35" s="15">
        <v>10</v>
      </c>
    </row>
    <row r="36" spans="1:9" x14ac:dyDescent="0.25">
      <c r="A36" s="155">
        <v>43630</v>
      </c>
      <c r="B36" s="5">
        <v>429</v>
      </c>
      <c r="C36" s="113">
        <v>7.95</v>
      </c>
      <c r="D36" s="113">
        <v>6.54</v>
      </c>
      <c r="E36" s="175">
        <v>23.2</v>
      </c>
      <c r="F36" s="113">
        <v>0</v>
      </c>
      <c r="G36" s="81" t="s">
        <v>113</v>
      </c>
      <c r="H36" s="81" t="s">
        <v>113</v>
      </c>
      <c r="I36" s="15">
        <v>20</v>
      </c>
    </row>
    <row r="37" spans="1:9" x14ac:dyDescent="0.25">
      <c r="A37" s="155">
        <v>43633</v>
      </c>
      <c r="B37" s="5">
        <v>408</v>
      </c>
      <c r="C37" s="113">
        <v>8.25</v>
      </c>
      <c r="D37" s="113">
        <v>6.55</v>
      </c>
      <c r="E37" s="175">
        <v>26</v>
      </c>
      <c r="F37" s="113">
        <v>0</v>
      </c>
      <c r="G37" s="5">
        <v>80</v>
      </c>
      <c r="H37" s="5">
        <v>150</v>
      </c>
      <c r="I37" s="15">
        <v>6</v>
      </c>
    </row>
    <row r="38" spans="1:9" x14ac:dyDescent="0.25">
      <c r="A38" s="155">
        <v>43633</v>
      </c>
      <c r="B38" s="5">
        <v>416</v>
      </c>
      <c r="C38" s="113">
        <v>8.1</v>
      </c>
      <c r="D38" s="113">
        <v>6.71</v>
      </c>
      <c r="E38" s="175">
        <v>25.9</v>
      </c>
      <c r="F38" s="113">
        <v>0</v>
      </c>
      <c r="G38" s="5">
        <v>80</v>
      </c>
      <c r="H38" s="5">
        <v>150</v>
      </c>
      <c r="I38" s="15">
        <v>33</v>
      </c>
    </row>
    <row r="39" spans="1:9" x14ac:dyDescent="0.25">
      <c r="A39" s="155">
        <v>43633</v>
      </c>
      <c r="B39" s="5">
        <v>399</v>
      </c>
      <c r="C39" s="113">
        <v>7.53</v>
      </c>
      <c r="D39" s="113">
        <v>6.83</v>
      </c>
      <c r="E39" s="175">
        <v>25.7</v>
      </c>
      <c r="F39" s="113">
        <v>0</v>
      </c>
      <c r="G39" s="5">
        <v>80</v>
      </c>
      <c r="H39" s="5">
        <v>150</v>
      </c>
      <c r="I39" s="15">
        <v>13</v>
      </c>
    </row>
    <row r="40" spans="1:9" x14ac:dyDescent="0.25">
      <c r="A40" s="155">
        <v>43635</v>
      </c>
      <c r="B40" s="5">
        <v>378</v>
      </c>
      <c r="C40" s="113">
        <v>8.5399999999999991</v>
      </c>
      <c r="D40" s="113">
        <v>6.46</v>
      </c>
      <c r="E40" s="175">
        <v>26.3</v>
      </c>
      <c r="F40" s="113">
        <v>0</v>
      </c>
      <c r="G40" s="81" t="s">
        <v>113</v>
      </c>
      <c r="H40" s="81" t="s">
        <v>113</v>
      </c>
      <c r="I40" s="15">
        <v>8</v>
      </c>
    </row>
    <row r="41" spans="1:9" x14ac:dyDescent="0.25">
      <c r="A41" s="155">
        <v>43635</v>
      </c>
      <c r="B41" s="5">
        <v>382</v>
      </c>
      <c r="C41" s="113">
        <v>8.19</v>
      </c>
      <c r="D41" s="113">
        <v>7.2</v>
      </c>
      <c r="E41" s="175">
        <v>26.1</v>
      </c>
      <c r="F41" s="113">
        <v>0</v>
      </c>
      <c r="G41" s="81" t="s">
        <v>113</v>
      </c>
      <c r="H41" s="81" t="s">
        <v>113</v>
      </c>
      <c r="I41" s="15">
        <v>14</v>
      </c>
    </row>
    <row r="42" spans="1:9" x14ac:dyDescent="0.25">
      <c r="A42" s="155">
        <v>43635</v>
      </c>
      <c r="B42" s="5">
        <v>391</v>
      </c>
      <c r="C42" s="113">
        <v>7.8</v>
      </c>
      <c r="D42" s="113">
        <v>7.29</v>
      </c>
      <c r="E42" s="175">
        <v>25.7</v>
      </c>
      <c r="F42" s="113">
        <v>0</v>
      </c>
      <c r="G42" s="81" t="s">
        <v>113</v>
      </c>
      <c r="H42" s="81" t="s">
        <v>113</v>
      </c>
      <c r="I42" s="15">
        <v>18</v>
      </c>
    </row>
    <row r="43" spans="1:9" x14ac:dyDescent="0.25">
      <c r="A43" s="155">
        <v>43637</v>
      </c>
      <c r="B43" s="5">
        <v>425</v>
      </c>
      <c r="C43" s="113">
        <v>8.73</v>
      </c>
      <c r="D43" s="113">
        <v>6.12</v>
      </c>
      <c r="E43" s="175">
        <v>23.2</v>
      </c>
      <c r="F43" s="113">
        <v>0</v>
      </c>
      <c r="G43" s="81" t="s">
        <v>113</v>
      </c>
      <c r="H43" s="81" t="s">
        <v>113</v>
      </c>
      <c r="I43" s="15">
        <v>9</v>
      </c>
    </row>
    <row r="44" spans="1:9" x14ac:dyDescent="0.25">
      <c r="A44" s="155">
        <v>43637</v>
      </c>
      <c r="B44" s="5">
        <v>384</v>
      </c>
      <c r="C44" s="113">
        <v>7.56</v>
      </c>
      <c r="D44" s="113">
        <v>6.26</v>
      </c>
      <c r="E44" s="175">
        <v>23.5</v>
      </c>
      <c r="F44" s="113">
        <v>0</v>
      </c>
      <c r="G44" s="81" t="s">
        <v>113</v>
      </c>
      <c r="H44" s="81" t="s">
        <v>113</v>
      </c>
      <c r="I44" s="15">
        <v>24</v>
      </c>
    </row>
    <row r="45" spans="1:9" x14ac:dyDescent="0.25">
      <c r="A45" s="155">
        <v>43637</v>
      </c>
      <c r="B45" s="5">
        <v>388</v>
      </c>
      <c r="C45" s="113">
        <v>7.22</v>
      </c>
      <c r="D45" s="113">
        <v>6.43</v>
      </c>
      <c r="E45" s="175">
        <v>23</v>
      </c>
      <c r="F45" s="113">
        <v>0</v>
      </c>
      <c r="G45" s="81" t="s">
        <v>113</v>
      </c>
      <c r="H45" s="81" t="s">
        <v>113</v>
      </c>
      <c r="I45" s="15">
        <v>27</v>
      </c>
    </row>
    <row r="46" spans="1:9" x14ac:dyDescent="0.25">
      <c r="A46" s="155">
        <v>43640</v>
      </c>
      <c r="B46" s="5">
        <v>386</v>
      </c>
      <c r="C46" s="113">
        <v>8</v>
      </c>
      <c r="D46" s="113">
        <v>6.88</v>
      </c>
      <c r="E46" s="175">
        <v>22</v>
      </c>
      <c r="F46" s="113">
        <v>0</v>
      </c>
      <c r="G46" s="5">
        <v>60</v>
      </c>
      <c r="H46" s="5">
        <v>150</v>
      </c>
      <c r="I46" s="15">
        <v>28</v>
      </c>
    </row>
    <row r="47" spans="1:9" x14ac:dyDescent="0.25">
      <c r="A47" s="155">
        <v>43640</v>
      </c>
      <c r="B47" s="5">
        <v>383</v>
      </c>
      <c r="C47" s="113">
        <v>7.57</v>
      </c>
      <c r="D47" s="113">
        <v>6.74</v>
      </c>
      <c r="E47" s="175">
        <v>22</v>
      </c>
      <c r="F47" s="113">
        <v>0</v>
      </c>
      <c r="G47" s="5">
        <v>60</v>
      </c>
      <c r="H47" s="5">
        <v>150</v>
      </c>
      <c r="I47" s="15">
        <v>29</v>
      </c>
    </row>
    <row r="48" spans="1:9" x14ac:dyDescent="0.25">
      <c r="A48" s="155">
        <v>43640</v>
      </c>
      <c r="B48" s="5">
        <v>388</v>
      </c>
      <c r="C48" s="113">
        <v>8.0299999999999994</v>
      </c>
      <c r="D48" s="113">
        <v>6.62</v>
      </c>
      <c r="E48" s="175">
        <v>22</v>
      </c>
      <c r="F48" s="113">
        <v>0</v>
      </c>
      <c r="G48" s="81">
        <v>60</v>
      </c>
      <c r="H48" s="5">
        <v>150</v>
      </c>
      <c r="I48" s="15">
        <v>25</v>
      </c>
    </row>
    <row r="49" spans="1:9" x14ac:dyDescent="0.25">
      <c r="A49" s="155">
        <v>43642</v>
      </c>
      <c r="B49" s="5">
        <v>372</v>
      </c>
      <c r="C49" s="113">
        <v>8.31</v>
      </c>
      <c r="D49" s="113">
        <v>6.79</v>
      </c>
      <c r="E49" s="175">
        <v>25.9</v>
      </c>
      <c r="F49" s="113">
        <v>0</v>
      </c>
      <c r="G49" s="81" t="s">
        <v>113</v>
      </c>
      <c r="H49" s="81" t="s">
        <v>113</v>
      </c>
      <c r="I49" s="15">
        <v>9</v>
      </c>
    </row>
    <row r="50" spans="1:9" x14ac:dyDescent="0.25">
      <c r="A50" s="155">
        <v>43642</v>
      </c>
      <c r="B50" s="5">
        <v>381</v>
      </c>
      <c r="C50" s="113">
        <v>8.2799999999999994</v>
      </c>
      <c r="D50" s="113">
        <v>6.68</v>
      </c>
      <c r="E50" s="175">
        <v>25.7</v>
      </c>
      <c r="F50" s="113">
        <v>0</v>
      </c>
      <c r="G50" s="81" t="s">
        <v>113</v>
      </c>
      <c r="H50" s="81" t="s">
        <v>113</v>
      </c>
      <c r="I50" s="15">
        <v>1</v>
      </c>
    </row>
    <row r="51" spans="1:9" x14ac:dyDescent="0.25">
      <c r="A51" s="155">
        <v>43642</v>
      </c>
      <c r="B51" s="5">
        <v>483</v>
      </c>
      <c r="C51" s="113">
        <v>9.01</v>
      </c>
      <c r="D51" s="113">
        <v>6.19</v>
      </c>
      <c r="E51" s="175">
        <v>25.5</v>
      </c>
      <c r="F51" s="113">
        <v>0</v>
      </c>
      <c r="G51" s="81" t="s">
        <v>113</v>
      </c>
      <c r="H51" s="81" t="s">
        <v>113</v>
      </c>
      <c r="I51" s="15">
        <v>21</v>
      </c>
    </row>
    <row r="52" spans="1:9" x14ac:dyDescent="0.25">
      <c r="A52" s="155">
        <v>43644</v>
      </c>
      <c r="B52" s="5">
        <v>620</v>
      </c>
      <c r="C52" s="113">
        <v>7.8</v>
      </c>
      <c r="D52" s="113">
        <v>6.48</v>
      </c>
      <c r="E52" s="175">
        <v>25.5</v>
      </c>
      <c r="F52" s="113">
        <v>0.25</v>
      </c>
      <c r="G52" s="81" t="s">
        <v>113</v>
      </c>
      <c r="H52" s="81" t="s">
        <v>113</v>
      </c>
      <c r="I52" s="15">
        <v>16</v>
      </c>
    </row>
    <row r="53" spans="1:9" x14ac:dyDescent="0.25">
      <c r="A53" s="155">
        <v>43644</v>
      </c>
      <c r="B53" s="5">
        <v>414</v>
      </c>
      <c r="C53" s="113">
        <v>7.71</v>
      </c>
      <c r="D53" s="113">
        <v>6.74</v>
      </c>
      <c r="E53" s="175">
        <v>25</v>
      </c>
      <c r="F53" s="113">
        <v>0.25</v>
      </c>
      <c r="G53" s="81" t="s">
        <v>113</v>
      </c>
      <c r="H53" s="81" t="s">
        <v>113</v>
      </c>
      <c r="I53" s="15">
        <v>13</v>
      </c>
    </row>
    <row r="54" spans="1:9" x14ac:dyDescent="0.25">
      <c r="A54" s="155">
        <v>43644</v>
      </c>
      <c r="B54" s="5">
        <v>425</v>
      </c>
      <c r="C54" s="113">
        <v>7.56</v>
      </c>
      <c r="D54" s="113">
        <v>6.83</v>
      </c>
      <c r="E54" s="175">
        <v>25.1</v>
      </c>
      <c r="F54" s="113">
        <v>0.25</v>
      </c>
      <c r="G54" s="81" t="s">
        <v>113</v>
      </c>
      <c r="H54" s="81" t="s">
        <v>113</v>
      </c>
      <c r="I54" s="15">
        <v>23</v>
      </c>
    </row>
    <row r="55" spans="1:9" x14ac:dyDescent="0.25">
      <c r="A55" s="155">
        <v>43647</v>
      </c>
      <c r="B55" s="5">
        <v>397</v>
      </c>
      <c r="C55" s="113">
        <v>7.75</v>
      </c>
      <c r="D55" s="113">
        <v>6.15</v>
      </c>
      <c r="E55" s="175">
        <v>26.8</v>
      </c>
      <c r="F55" s="113">
        <v>0.25</v>
      </c>
      <c r="G55" s="5">
        <v>60</v>
      </c>
      <c r="H55" s="5">
        <v>300</v>
      </c>
      <c r="I55" s="15">
        <v>10</v>
      </c>
    </row>
    <row r="56" spans="1:9" x14ac:dyDescent="0.25">
      <c r="A56" s="155">
        <v>43647</v>
      </c>
      <c r="B56" s="5">
        <v>394</v>
      </c>
      <c r="C56" s="113">
        <v>7.92</v>
      </c>
      <c r="D56" s="113">
        <v>6.3</v>
      </c>
      <c r="E56" s="175">
        <v>26.6</v>
      </c>
      <c r="F56" s="113">
        <v>0</v>
      </c>
      <c r="G56" s="81">
        <v>60</v>
      </c>
      <c r="H56" s="5">
        <v>150</v>
      </c>
      <c r="I56" s="15">
        <v>33</v>
      </c>
    </row>
    <row r="57" spans="1:9" x14ac:dyDescent="0.25">
      <c r="A57" s="155">
        <v>43647</v>
      </c>
      <c r="B57" s="5">
        <v>392</v>
      </c>
      <c r="C57" s="113">
        <v>8.73</v>
      </c>
      <c r="D57" s="113">
        <v>6.45</v>
      </c>
      <c r="E57" s="175">
        <v>26.3</v>
      </c>
      <c r="F57" s="113">
        <v>0.25</v>
      </c>
      <c r="G57" s="5">
        <v>60</v>
      </c>
      <c r="H57" s="5">
        <v>150</v>
      </c>
      <c r="I57" s="15">
        <v>20</v>
      </c>
    </row>
    <row r="58" spans="1:9" x14ac:dyDescent="0.25">
      <c r="A58" s="155">
        <v>43649</v>
      </c>
      <c r="B58" s="5">
        <v>384</v>
      </c>
      <c r="C58" s="113">
        <v>8.4</v>
      </c>
      <c r="D58" s="113">
        <v>6.8</v>
      </c>
      <c r="E58" s="175">
        <v>26.6</v>
      </c>
      <c r="F58" s="113">
        <v>0.25</v>
      </c>
      <c r="G58" s="81" t="s">
        <v>113</v>
      </c>
      <c r="H58" s="81" t="s">
        <v>113</v>
      </c>
      <c r="I58" s="15">
        <v>2</v>
      </c>
    </row>
    <row r="59" spans="1:9" x14ac:dyDescent="0.25">
      <c r="A59" s="155">
        <v>43649</v>
      </c>
      <c r="B59" s="5">
        <v>369</v>
      </c>
      <c r="C59" s="113">
        <v>8.3800000000000008</v>
      </c>
      <c r="D59" s="113">
        <v>6.8</v>
      </c>
      <c r="E59" s="175">
        <v>27</v>
      </c>
      <c r="F59" s="113">
        <v>0.5</v>
      </c>
      <c r="G59" s="81" t="s">
        <v>113</v>
      </c>
      <c r="H59" s="81" t="s">
        <v>113</v>
      </c>
      <c r="I59" s="15">
        <v>11</v>
      </c>
    </row>
    <row r="60" spans="1:9" x14ac:dyDescent="0.25">
      <c r="A60" s="155">
        <v>43649</v>
      </c>
      <c r="B60" s="5">
        <v>372</v>
      </c>
      <c r="C60" s="113">
        <v>8.92</v>
      </c>
      <c r="D60" s="113">
        <v>6.8</v>
      </c>
      <c r="E60" s="175">
        <v>27.2</v>
      </c>
      <c r="F60" s="113">
        <v>0.25</v>
      </c>
      <c r="G60" s="81" t="s">
        <v>113</v>
      </c>
      <c r="H60" s="81" t="s">
        <v>113</v>
      </c>
      <c r="I60" s="15">
        <v>22</v>
      </c>
    </row>
    <row r="61" spans="1:9" x14ac:dyDescent="0.25">
      <c r="A61" s="155">
        <v>43651</v>
      </c>
      <c r="B61" s="5">
        <v>367</v>
      </c>
      <c r="C61" s="113">
        <v>8.56</v>
      </c>
      <c r="D61" s="113">
        <v>6.65</v>
      </c>
      <c r="E61" s="175">
        <v>28.5</v>
      </c>
      <c r="F61" s="113">
        <v>0.25</v>
      </c>
      <c r="G61" s="81" t="s">
        <v>113</v>
      </c>
      <c r="H61" s="81" t="s">
        <v>113</v>
      </c>
      <c r="I61" s="15">
        <v>3</v>
      </c>
    </row>
    <row r="62" spans="1:9" x14ac:dyDescent="0.25">
      <c r="A62" s="155">
        <v>43651</v>
      </c>
      <c r="B62" s="5">
        <v>386</v>
      </c>
      <c r="C62" s="113">
        <v>8.77</v>
      </c>
      <c r="D62" s="113">
        <v>6.75</v>
      </c>
      <c r="E62" s="175">
        <v>27</v>
      </c>
      <c r="F62" s="113">
        <v>0.25</v>
      </c>
      <c r="G62" s="81" t="s">
        <v>113</v>
      </c>
      <c r="H62" s="81" t="s">
        <v>113</v>
      </c>
      <c r="I62" s="15">
        <v>12</v>
      </c>
    </row>
    <row r="63" spans="1:9" x14ac:dyDescent="0.25">
      <c r="A63" s="155">
        <v>43651</v>
      </c>
      <c r="B63" s="5">
        <v>393</v>
      </c>
      <c r="C63" s="113">
        <v>11.08</v>
      </c>
      <c r="D63" s="113">
        <v>6.86</v>
      </c>
      <c r="E63" s="175">
        <v>26.5</v>
      </c>
      <c r="F63" s="113">
        <v>0.25</v>
      </c>
      <c r="G63" s="81" t="s">
        <v>113</v>
      </c>
      <c r="H63" s="81" t="s">
        <v>113</v>
      </c>
      <c r="I63" s="15">
        <v>24</v>
      </c>
    </row>
    <row r="64" spans="1:9" x14ac:dyDescent="0.25">
      <c r="A64" s="155">
        <v>43654</v>
      </c>
      <c r="B64" s="5">
        <v>407</v>
      </c>
      <c r="C64" s="113">
        <v>11.86</v>
      </c>
      <c r="D64" s="113">
        <v>7.3</v>
      </c>
      <c r="E64" s="175">
        <v>26.2</v>
      </c>
      <c r="F64" s="113">
        <v>0.25</v>
      </c>
      <c r="G64" s="5">
        <v>60</v>
      </c>
      <c r="H64" s="5">
        <v>150</v>
      </c>
      <c r="I64" s="15">
        <v>4</v>
      </c>
    </row>
    <row r="65" spans="1:9" x14ac:dyDescent="0.25">
      <c r="A65" s="155">
        <v>43654</v>
      </c>
      <c r="B65" s="5">
        <v>409</v>
      </c>
      <c r="C65" s="113">
        <v>7.83</v>
      </c>
      <c r="D65" s="113">
        <v>6.84</v>
      </c>
      <c r="E65" s="175">
        <v>26.5</v>
      </c>
      <c r="F65" s="113">
        <v>0.5</v>
      </c>
      <c r="G65" s="5">
        <v>80</v>
      </c>
      <c r="H65" s="5">
        <v>150</v>
      </c>
      <c r="I65" s="15">
        <v>14</v>
      </c>
    </row>
    <row r="66" spans="1:9" x14ac:dyDescent="0.25">
      <c r="A66" s="155">
        <v>43654</v>
      </c>
      <c r="B66" s="5">
        <v>398</v>
      </c>
      <c r="C66" s="113">
        <v>8.18</v>
      </c>
      <c r="D66" s="113">
        <v>6.67</v>
      </c>
      <c r="E66" s="175">
        <v>26.6</v>
      </c>
      <c r="F66" s="113">
        <v>0.25</v>
      </c>
      <c r="G66" s="5">
        <v>80</v>
      </c>
      <c r="H66" s="5">
        <v>150</v>
      </c>
      <c r="I66" s="15">
        <v>26</v>
      </c>
    </row>
    <row r="67" spans="1:9" x14ac:dyDescent="0.25">
      <c r="A67" s="156" t="s">
        <v>111</v>
      </c>
      <c r="B67" s="58">
        <f t="shared" ref="B67:H67" si="0">AVERAGE(B13:B66)</f>
        <v>413.51851851851853</v>
      </c>
      <c r="C67" s="58">
        <f t="shared" si="0"/>
        <v>8.2474509803921539</v>
      </c>
      <c r="D67" s="58">
        <f t="shared" si="0"/>
        <v>6.8149999999999995</v>
      </c>
      <c r="E67" s="177">
        <f t="shared" si="0"/>
        <v>25.018518518518515</v>
      </c>
      <c r="F67" s="58">
        <f t="shared" si="0"/>
        <v>7.407407407407407E-2</v>
      </c>
      <c r="G67" s="58">
        <f t="shared" si="0"/>
        <v>73.333333333333329</v>
      </c>
      <c r="H67" s="58">
        <f t="shared" si="0"/>
        <v>153.57142857142858</v>
      </c>
      <c r="I67" s="44"/>
    </row>
    <row r="68" spans="1:9" x14ac:dyDescent="0.25">
      <c r="A68" s="156" t="s">
        <v>112</v>
      </c>
      <c r="B68" s="58">
        <f t="shared" ref="B68:H68" si="1">_xlfn.STDEV.S(B13:B66)</f>
        <v>46.627281972884646</v>
      </c>
      <c r="C68" s="58">
        <f t="shared" si="1"/>
        <v>0.82662408176209068</v>
      </c>
      <c r="D68" s="58">
        <f t="shared" si="1"/>
        <v>0.59734554331074385</v>
      </c>
      <c r="E68" s="177">
        <f t="shared" si="1"/>
        <v>1.4174217989908184</v>
      </c>
      <c r="F68" s="58">
        <f t="shared" si="1"/>
        <v>0.13414324248296469</v>
      </c>
      <c r="G68" s="58">
        <f t="shared" si="1"/>
        <v>18.257418583505544</v>
      </c>
      <c r="H68" s="58">
        <f t="shared" si="1"/>
        <v>37.321001364608932</v>
      </c>
      <c r="I68" s="44"/>
    </row>
    <row r="69" spans="1:9" x14ac:dyDescent="0.25">
      <c r="A69" s="156" t="s">
        <v>114</v>
      </c>
      <c r="B69" s="58">
        <f t="shared" ref="B69:H69" si="2">MIN(B13:B66)</f>
        <v>367</v>
      </c>
      <c r="C69" s="58">
        <f t="shared" si="2"/>
        <v>7.02</v>
      </c>
      <c r="D69" s="58">
        <f t="shared" si="2"/>
        <v>6.12</v>
      </c>
      <c r="E69" s="177">
        <f t="shared" si="2"/>
        <v>22</v>
      </c>
      <c r="F69" s="58">
        <f t="shared" si="2"/>
        <v>0</v>
      </c>
      <c r="G69" s="58">
        <f t="shared" si="2"/>
        <v>60</v>
      </c>
      <c r="H69" s="58">
        <f t="shared" si="2"/>
        <v>75</v>
      </c>
      <c r="I69" s="44"/>
    </row>
    <row r="70" spans="1:9" ht="15.75" thickBot="1" x14ac:dyDescent="0.3">
      <c r="A70" s="157" t="s">
        <v>115</v>
      </c>
      <c r="B70" s="112">
        <f t="shared" ref="B70:H70" si="3">MAX(B13:B66)</f>
        <v>620</v>
      </c>
      <c r="C70" s="112">
        <f t="shared" si="3"/>
        <v>11.86</v>
      </c>
      <c r="D70" s="112">
        <f t="shared" si="3"/>
        <v>9</v>
      </c>
      <c r="E70" s="178">
        <f t="shared" si="3"/>
        <v>28.5</v>
      </c>
      <c r="F70" s="112">
        <f t="shared" si="3"/>
        <v>0.5</v>
      </c>
      <c r="G70" s="112">
        <f t="shared" si="3"/>
        <v>120</v>
      </c>
      <c r="H70" s="112">
        <f t="shared" si="3"/>
        <v>300</v>
      </c>
      <c r="I70" s="158"/>
    </row>
    <row r="71" spans="1:9" x14ac:dyDescent="0.25">
      <c r="A71" s="238" t="s">
        <v>40</v>
      </c>
      <c r="B71" s="239"/>
      <c r="C71" s="239"/>
      <c r="D71" s="239"/>
      <c r="E71" s="239"/>
      <c r="F71" s="239"/>
      <c r="G71" s="239"/>
      <c r="H71" s="240"/>
      <c r="I71" s="99"/>
    </row>
    <row r="72" spans="1:9" ht="30" x14ac:dyDescent="0.25">
      <c r="A72" s="12" t="s">
        <v>63</v>
      </c>
      <c r="B72" s="121" t="s">
        <v>118</v>
      </c>
      <c r="C72" s="120" t="s">
        <v>106</v>
      </c>
      <c r="D72" s="120" t="s">
        <v>107</v>
      </c>
      <c r="E72" s="174" t="s">
        <v>119</v>
      </c>
      <c r="F72" s="120" t="s">
        <v>108</v>
      </c>
      <c r="G72" s="121" t="s">
        <v>109</v>
      </c>
      <c r="H72" s="127" t="s">
        <v>110</v>
      </c>
      <c r="I72" s="27"/>
    </row>
    <row r="73" spans="1:9" x14ac:dyDescent="0.25">
      <c r="A73" s="155">
        <v>43649</v>
      </c>
      <c r="B73" s="5">
        <v>359</v>
      </c>
      <c r="C73" s="113">
        <v>8.3800000000000008</v>
      </c>
      <c r="D73" s="113">
        <v>7.2</v>
      </c>
      <c r="E73" s="201">
        <v>26.5</v>
      </c>
      <c r="F73" s="173">
        <v>0</v>
      </c>
      <c r="G73" s="73">
        <v>80</v>
      </c>
      <c r="H73" s="159">
        <v>150</v>
      </c>
    </row>
    <row r="74" spans="1:9" x14ac:dyDescent="0.25">
      <c r="A74" s="155">
        <v>43651</v>
      </c>
      <c r="B74" s="5">
        <v>356</v>
      </c>
      <c r="C74" s="113">
        <v>8.4</v>
      </c>
      <c r="D74" s="113">
        <v>6.54</v>
      </c>
      <c r="E74" s="201">
        <v>27</v>
      </c>
      <c r="F74" s="173">
        <v>0</v>
      </c>
      <c r="G74" s="81" t="s">
        <v>113</v>
      </c>
      <c r="H74" s="159" t="s">
        <v>113</v>
      </c>
    </row>
    <row r="75" spans="1:9" x14ac:dyDescent="0.25">
      <c r="A75" s="155">
        <v>43654</v>
      </c>
      <c r="B75" s="5">
        <v>395</v>
      </c>
      <c r="C75" s="113">
        <v>9.8000000000000007</v>
      </c>
      <c r="D75" s="113">
        <v>6.33</v>
      </c>
      <c r="E75" s="201">
        <v>25.1</v>
      </c>
      <c r="F75" s="173">
        <v>0.25</v>
      </c>
      <c r="G75" s="73">
        <v>80</v>
      </c>
      <c r="H75" s="159">
        <v>150</v>
      </c>
    </row>
    <row r="76" spans="1:9" x14ac:dyDescent="0.25">
      <c r="A76" s="155">
        <v>43656</v>
      </c>
      <c r="B76" s="10">
        <v>371</v>
      </c>
      <c r="C76" s="173">
        <v>8.33</v>
      </c>
      <c r="D76" s="173">
        <v>6.6</v>
      </c>
      <c r="E76" s="201">
        <v>26.2</v>
      </c>
      <c r="F76" s="173">
        <v>0.25</v>
      </c>
      <c r="G76" s="81" t="s">
        <v>113</v>
      </c>
      <c r="H76" s="159" t="s">
        <v>113</v>
      </c>
    </row>
    <row r="77" spans="1:9" x14ac:dyDescent="0.25">
      <c r="A77" s="155">
        <v>43658</v>
      </c>
      <c r="B77" s="10">
        <v>411</v>
      </c>
      <c r="C77" s="173">
        <v>7.69</v>
      </c>
      <c r="D77" s="173">
        <v>6.58</v>
      </c>
      <c r="E77" s="201">
        <v>26.1</v>
      </c>
      <c r="F77" s="173">
        <v>0.5</v>
      </c>
      <c r="G77" s="73" t="s">
        <v>113</v>
      </c>
      <c r="H77" s="159" t="s">
        <v>113</v>
      </c>
    </row>
    <row r="78" spans="1:9" x14ac:dyDescent="0.25">
      <c r="A78" s="155">
        <v>43661</v>
      </c>
      <c r="B78" s="10">
        <v>448</v>
      </c>
      <c r="C78" s="173">
        <v>8.64</v>
      </c>
      <c r="D78" s="173">
        <v>6.57</v>
      </c>
      <c r="E78" s="201">
        <v>25.7</v>
      </c>
      <c r="F78" s="173">
        <v>0.5</v>
      </c>
      <c r="G78" s="73">
        <v>80</v>
      </c>
      <c r="H78" s="159">
        <v>150</v>
      </c>
    </row>
    <row r="79" spans="1:9" x14ac:dyDescent="0.25">
      <c r="A79" s="155">
        <v>43663</v>
      </c>
      <c r="B79" s="10">
        <v>381</v>
      </c>
      <c r="C79" s="173">
        <v>10.78</v>
      </c>
      <c r="D79" s="173">
        <v>6.9</v>
      </c>
      <c r="E79" s="201">
        <v>25.5</v>
      </c>
      <c r="F79" s="173">
        <v>0.25</v>
      </c>
      <c r="G79" s="73" t="s">
        <v>113</v>
      </c>
      <c r="H79" s="159" t="s">
        <v>113</v>
      </c>
    </row>
    <row r="80" spans="1:9" x14ac:dyDescent="0.25">
      <c r="A80" s="155">
        <v>43665</v>
      </c>
      <c r="B80" s="10">
        <v>450</v>
      </c>
      <c r="C80" s="173">
        <v>8.14</v>
      </c>
      <c r="D80" s="173">
        <v>7.16</v>
      </c>
      <c r="E80" s="201">
        <v>26.7</v>
      </c>
      <c r="F80" s="173">
        <v>0.25</v>
      </c>
      <c r="G80" s="73" t="s">
        <v>113</v>
      </c>
      <c r="H80" s="159" t="s">
        <v>113</v>
      </c>
    </row>
    <row r="81" spans="1:8" x14ac:dyDescent="0.25">
      <c r="A81" s="155">
        <v>43668</v>
      </c>
      <c r="B81" s="10">
        <v>400</v>
      </c>
      <c r="C81" s="173">
        <v>9.6300000000000008</v>
      </c>
      <c r="D81" s="173">
        <v>6.5</v>
      </c>
      <c r="E81" s="201">
        <v>25.2</v>
      </c>
      <c r="F81" s="173">
        <v>0.25</v>
      </c>
      <c r="G81" s="73">
        <v>80</v>
      </c>
      <c r="H81" s="159">
        <v>150</v>
      </c>
    </row>
    <row r="82" spans="1:8" x14ac:dyDescent="0.25">
      <c r="A82" s="155">
        <v>43670</v>
      </c>
      <c r="B82" s="10">
        <v>392</v>
      </c>
      <c r="C82" s="173">
        <v>8.89</v>
      </c>
      <c r="D82" s="173">
        <v>6.63</v>
      </c>
      <c r="E82" s="201">
        <v>24.3</v>
      </c>
      <c r="F82" s="173">
        <v>0.25</v>
      </c>
      <c r="G82" s="81" t="s">
        <v>113</v>
      </c>
      <c r="H82" s="159" t="s">
        <v>113</v>
      </c>
    </row>
    <row r="83" spans="1:8" x14ac:dyDescent="0.25">
      <c r="A83" s="155">
        <v>43672</v>
      </c>
      <c r="B83" s="10">
        <v>430</v>
      </c>
      <c r="C83" s="173">
        <v>8.24</v>
      </c>
      <c r="D83" s="173">
        <v>6.46</v>
      </c>
      <c r="E83" s="201">
        <v>24.1</v>
      </c>
      <c r="F83" s="173">
        <v>0</v>
      </c>
      <c r="G83" s="81" t="s">
        <v>113</v>
      </c>
      <c r="H83" s="159" t="s">
        <v>113</v>
      </c>
    </row>
    <row r="84" spans="1:8" x14ac:dyDescent="0.25">
      <c r="A84" s="155">
        <v>43675</v>
      </c>
      <c r="B84" s="10">
        <v>411</v>
      </c>
      <c r="C84" s="173">
        <v>7.92</v>
      </c>
      <c r="D84" s="173">
        <v>6.34</v>
      </c>
      <c r="E84" s="201">
        <v>24.2</v>
      </c>
      <c r="F84" s="173">
        <v>0</v>
      </c>
      <c r="G84" s="81">
        <v>80</v>
      </c>
      <c r="H84" s="159">
        <v>150</v>
      </c>
    </row>
    <row r="85" spans="1:8" x14ac:dyDescent="0.25">
      <c r="A85" s="156" t="s">
        <v>111</v>
      </c>
      <c r="B85" s="58">
        <f t="shared" ref="B85:H85" si="4">AVERAGE(B73:B84)</f>
        <v>400.33333333333331</v>
      </c>
      <c r="C85" s="58">
        <f t="shared" si="4"/>
        <v>8.7366666666666664</v>
      </c>
      <c r="D85" s="58">
        <f t="shared" si="4"/>
        <v>6.650833333333332</v>
      </c>
      <c r="E85" s="177">
        <f t="shared" si="4"/>
        <v>25.549999999999997</v>
      </c>
      <c r="F85" s="58">
        <f t="shared" si="4"/>
        <v>0.20833333333333334</v>
      </c>
      <c r="G85" s="58">
        <f t="shared" si="4"/>
        <v>80</v>
      </c>
      <c r="H85" s="59">
        <f t="shared" si="4"/>
        <v>150</v>
      </c>
    </row>
    <row r="86" spans="1:8" x14ac:dyDescent="0.25">
      <c r="A86" s="156" t="s">
        <v>112</v>
      </c>
      <c r="B86" s="58">
        <f t="shared" ref="B86:H86" si="5">_xlfn.STDEV.S(B73:B84)</f>
        <v>31.410285904557774</v>
      </c>
      <c r="C86" s="58">
        <f t="shared" si="5"/>
        <v>0.89989224944215429</v>
      </c>
      <c r="D86" s="58">
        <f t="shared" si="5"/>
        <v>0.28738502312255521</v>
      </c>
      <c r="E86" s="177">
        <f t="shared" si="5"/>
        <v>0.99498743710661963</v>
      </c>
      <c r="F86" s="58">
        <f t="shared" si="5"/>
        <v>0.17943514064131835</v>
      </c>
      <c r="G86" s="58">
        <f t="shared" si="5"/>
        <v>0</v>
      </c>
      <c r="H86" s="59">
        <f t="shared" si="5"/>
        <v>0</v>
      </c>
    </row>
    <row r="87" spans="1:8" x14ac:dyDescent="0.25">
      <c r="A87" s="156" t="s">
        <v>114</v>
      </c>
      <c r="B87" s="58">
        <f t="shared" ref="B87:H87" si="6">MIN(B73:B84)</f>
        <v>356</v>
      </c>
      <c r="C87" s="58">
        <f t="shared" si="6"/>
        <v>7.69</v>
      </c>
      <c r="D87" s="58">
        <f t="shared" si="6"/>
        <v>6.33</v>
      </c>
      <c r="E87" s="177">
        <f t="shared" si="6"/>
        <v>24.1</v>
      </c>
      <c r="F87" s="58">
        <f t="shared" si="6"/>
        <v>0</v>
      </c>
      <c r="G87" s="58">
        <f t="shared" si="6"/>
        <v>80</v>
      </c>
      <c r="H87" s="59">
        <f t="shared" si="6"/>
        <v>150</v>
      </c>
    </row>
    <row r="88" spans="1:8" ht="15.75" thickBot="1" x14ac:dyDescent="0.3">
      <c r="A88" s="157" t="s">
        <v>115</v>
      </c>
      <c r="B88" s="112">
        <f t="shared" ref="B88:H88" si="7">MAX(B73:B84)</f>
        <v>450</v>
      </c>
      <c r="C88" s="112">
        <f t="shared" si="7"/>
        <v>10.78</v>
      </c>
      <c r="D88" s="112">
        <f t="shared" si="7"/>
        <v>7.2</v>
      </c>
      <c r="E88" s="178">
        <f t="shared" si="7"/>
        <v>27</v>
      </c>
      <c r="F88" s="112">
        <f t="shared" si="7"/>
        <v>0.5</v>
      </c>
      <c r="G88" s="112">
        <f t="shared" si="7"/>
        <v>80</v>
      </c>
      <c r="H88" s="60">
        <f t="shared" si="7"/>
        <v>150</v>
      </c>
    </row>
    <row r="89" spans="1:8" x14ac:dyDescent="0.25">
      <c r="A89" s="238" t="s">
        <v>39</v>
      </c>
      <c r="B89" s="239"/>
      <c r="C89" s="239"/>
      <c r="D89" s="239"/>
      <c r="E89" s="239"/>
      <c r="F89" s="239"/>
      <c r="G89" s="239"/>
      <c r="H89" s="240"/>
    </row>
    <row r="90" spans="1:8" ht="30" x14ac:dyDescent="0.25">
      <c r="A90" s="12" t="s">
        <v>63</v>
      </c>
      <c r="B90" s="121" t="s">
        <v>118</v>
      </c>
      <c r="C90" s="120" t="s">
        <v>106</v>
      </c>
      <c r="D90" s="120" t="s">
        <v>107</v>
      </c>
      <c r="E90" s="174" t="s">
        <v>119</v>
      </c>
      <c r="F90" s="120" t="s">
        <v>108</v>
      </c>
      <c r="G90" s="121" t="s">
        <v>109</v>
      </c>
      <c r="H90" s="127" t="s">
        <v>110</v>
      </c>
    </row>
    <row r="91" spans="1:8" x14ac:dyDescent="0.25">
      <c r="A91" s="155">
        <v>43656</v>
      </c>
      <c r="B91" s="5">
        <v>385</v>
      </c>
      <c r="C91" s="113">
        <v>8.23</v>
      </c>
      <c r="D91" s="113">
        <v>6.81</v>
      </c>
      <c r="E91" s="201">
        <v>26.2</v>
      </c>
      <c r="F91" s="173">
        <v>0.25</v>
      </c>
      <c r="G91" s="81">
        <v>120</v>
      </c>
      <c r="H91" s="159">
        <v>150</v>
      </c>
    </row>
    <row r="92" spans="1:8" x14ac:dyDescent="0.25">
      <c r="A92" s="155">
        <v>43658</v>
      </c>
      <c r="B92" s="5">
        <v>389</v>
      </c>
      <c r="C92" s="113">
        <v>8.48</v>
      </c>
      <c r="D92" s="113">
        <v>6.74</v>
      </c>
      <c r="E92" s="201">
        <v>25.8</v>
      </c>
      <c r="F92" s="173">
        <v>0</v>
      </c>
      <c r="G92" s="81" t="s">
        <v>113</v>
      </c>
      <c r="H92" s="159" t="s">
        <v>113</v>
      </c>
    </row>
    <row r="93" spans="1:8" x14ac:dyDescent="0.25">
      <c r="A93" s="155">
        <v>43661</v>
      </c>
      <c r="B93" s="5">
        <v>401</v>
      </c>
      <c r="C93" s="113">
        <v>9.11</v>
      </c>
      <c r="D93" s="113">
        <v>6.7</v>
      </c>
      <c r="E93" s="201">
        <v>25.7</v>
      </c>
      <c r="F93" s="173">
        <v>0.25</v>
      </c>
      <c r="G93" s="81">
        <v>80</v>
      </c>
      <c r="H93" s="159">
        <v>150</v>
      </c>
    </row>
    <row r="94" spans="1:8" x14ac:dyDescent="0.25">
      <c r="A94" s="155">
        <v>43663</v>
      </c>
      <c r="B94" s="10">
        <v>394</v>
      </c>
      <c r="C94" s="173">
        <v>9.5399999999999991</v>
      </c>
      <c r="D94" s="173">
        <v>6.22</v>
      </c>
      <c r="E94" s="201">
        <v>25.3</v>
      </c>
      <c r="F94" s="173">
        <v>0.25</v>
      </c>
      <c r="G94" s="81" t="s">
        <v>113</v>
      </c>
      <c r="H94" s="159" t="s">
        <v>113</v>
      </c>
    </row>
    <row r="95" spans="1:8" x14ac:dyDescent="0.25">
      <c r="A95" s="155">
        <v>43665</v>
      </c>
      <c r="B95" s="10">
        <v>418</v>
      </c>
      <c r="C95" s="173">
        <v>8.32</v>
      </c>
      <c r="D95" s="173">
        <v>6.43</v>
      </c>
      <c r="E95" s="201">
        <v>26.7</v>
      </c>
      <c r="F95" s="173">
        <v>0</v>
      </c>
      <c r="G95" s="81" t="s">
        <v>113</v>
      </c>
      <c r="H95" s="159" t="s">
        <v>113</v>
      </c>
    </row>
    <row r="96" spans="1:8" x14ac:dyDescent="0.25">
      <c r="A96" s="155">
        <v>43668</v>
      </c>
      <c r="B96" s="10">
        <v>391</v>
      </c>
      <c r="C96" s="173">
        <v>9.65</v>
      </c>
      <c r="D96" s="173">
        <v>6.6</v>
      </c>
      <c r="E96" s="201">
        <v>25.2</v>
      </c>
      <c r="F96" s="173">
        <v>0.25</v>
      </c>
      <c r="G96" s="81">
        <v>80</v>
      </c>
      <c r="H96" s="159">
        <v>150</v>
      </c>
    </row>
    <row r="97" spans="1:8" x14ac:dyDescent="0.25">
      <c r="A97" s="155">
        <v>43670</v>
      </c>
      <c r="B97" s="10">
        <v>386</v>
      </c>
      <c r="C97" s="173">
        <v>8.73</v>
      </c>
      <c r="D97" s="173">
        <v>6.37</v>
      </c>
      <c r="E97" s="175">
        <v>24.4</v>
      </c>
      <c r="F97" s="173">
        <v>0.25</v>
      </c>
      <c r="G97" s="81" t="s">
        <v>113</v>
      </c>
      <c r="H97" s="159" t="s">
        <v>113</v>
      </c>
    </row>
    <row r="98" spans="1:8" x14ac:dyDescent="0.25">
      <c r="A98" s="155">
        <v>43672</v>
      </c>
      <c r="B98" s="10">
        <v>397</v>
      </c>
      <c r="C98" s="173">
        <v>8.23</v>
      </c>
      <c r="D98" s="173">
        <v>6.26</v>
      </c>
      <c r="E98" s="201">
        <v>24.1</v>
      </c>
      <c r="F98" s="173">
        <v>0.25</v>
      </c>
      <c r="G98" s="81" t="s">
        <v>113</v>
      </c>
      <c r="H98" s="159" t="s">
        <v>113</v>
      </c>
    </row>
    <row r="99" spans="1:8" x14ac:dyDescent="0.25">
      <c r="A99" s="155">
        <v>43675</v>
      </c>
      <c r="B99" s="10">
        <v>412</v>
      </c>
      <c r="C99" s="173">
        <v>8.0399999999999991</v>
      </c>
      <c r="D99" s="173">
        <v>6.46</v>
      </c>
      <c r="E99" s="201">
        <v>24.5</v>
      </c>
      <c r="F99" s="173">
        <v>0.25</v>
      </c>
      <c r="G99" s="81">
        <v>80</v>
      </c>
      <c r="H99" s="159">
        <v>150</v>
      </c>
    </row>
    <row r="100" spans="1:8" x14ac:dyDescent="0.25">
      <c r="A100" s="155">
        <v>43677</v>
      </c>
      <c r="B100" s="10">
        <v>532</v>
      </c>
      <c r="C100" s="173">
        <v>8.7899999999999991</v>
      </c>
      <c r="D100" s="173">
        <v>6.29</v>
      </c>
      <c r="E100" s="201">
        <v>24.5</v>
      </c>
      <c r="F100" s="173">
        <v>0.25</v>
      </c>
      <c r="G100" s="81" t="s">
        <v>113</v>
      </c>
      <c r="H100" s="159" t="s">
        <v>113</v>
      </c>
    </row>
    <row r="101" spans="1:8" x14ac:dyDescent="0.25">
      <c r="A101" s="155">
        <v>43679</v>
      </c>
      <c r="B101" s="10">
        <v>377</v>
      </c>
      <c r="C101" s="173">
        <v>8.08</v>
      </c>
      <c r="D101" s="173">
        <v>6.58</v>
      </c>
      <c r="E101" s="201">
        <v>26.6</v>
      </c>
      <c r="F101" s="173">
        <v>0.25</v>
      </c>
      <c r="G101" s="81" t="s">
        <v>113</v>
      </c>
      <c r="H101" s="159" t="s">
        <v>113</v>
      </c>
    </row>
    <row r="102" spans="1:8" x14ac:dyDescent="0.25">
      <c r="A102" s="155">
        <v>43682</v>
      </c>
      <c r="B102" s="10">
        <v>379</v>
      </c>
      <c r="C102" s="173">
        <v>7.19</v>
      </c>
      <c r="D102" s="173">
        <v>6.41</v>
      </c>
      <c r="E102" s="201">
        <v>27.2</v>
      </c>
      <c r="F102" s="173">
        <v>0</v>
      </c>
      <c r="G102" s="81">
        <v>80</v>
      </c>
      <c r="H102" s="159">
        <v>75</v>
      </c>
    </row>
    <row r="103" spans="1:8" x14ac:dyDescent="0.25">
      <c r="A103" s="156" t="s">
        <v>111</v>
      </c>
      <c r="B103" s="58">
        <f t="shared" ref="B103:H103" si="8">AVERAGE(B91:B102)</f>
        <v>405.08333333333331</v>
      </c>
      <c r="C103" s="58">
        <f t="shared" si="8"/>
        <v>8.5325000000000006</v>
      </c>
      <c r="D103" s="58">
        <f t="shared" si="8"/>
        <v>6.4891666666666659</v>
      </c>
      <c r="E103" s="177">
        <f t="shared" si="8"/>
        <v>25.516666666666666</v>
      </c>
      <c r="F103" s="58">
        <f t="shared" si="8"/>
        <v>0.1875</v>
      </c>
      <c r="G103" s="58">
        <f t="shared" si="8"/>
        <v>88</v>
      </c>
      <c r="H103" s="59">
        <f t="shared" si="8"/>
        <v>135</v>
      </c>
    </row>
    <row r="104" spans="1:8" x14ac:dyDescent="0.25">
      <c r="A104" s="156" t="s">
        <v>112</v>
      </c>
      <c r="B104" s="58">
        <f t="shared" ref="B104:H104" si="9">_xlfn.STDEV.S(B91:B102)</f>
        <v>41.801388261708013</v>
      </c>
      <c r="C104" s="58">
        <f t="shared" si="9"/>
        <v>0.6864417475119593</v>
      </c>
      <c r="D104" s="58">
        <f t="shared" si="9"/>
        <v>0.19546952021564218</v>
      </c>
      <c r="E104" s="177">
        <f t="shared" si="9"/>
        <v>1.0205464964983963</v>
      </c>
      <c r="F104" s="58">
        <f t="shared" si="9"/>
        <v>0.11306675421666136</v>
      </c>
      <c r="G104" s="58">
        <f t="shared" si="9"/>
        <v>17.888543819998318</v>
      </c>
      <c r="H104" s="59">
        <f t="shared" si="9"/>
        <v>33.541019662496844</v>
      </c>
    </row>
    <row r="105" spans="1:8" x14ac:dyDescent="0.25">
      <c r="A105" s="156" t="s">
        <v>114</v>
      </c>
      <c r="B105" s="58">
        <f t="shared" ref="B105:H105" si="10">MIN(B91:B102)</f>
        <v>377</v>
      </c>
      <c r="C105" s="58">
        <f t="shared" si="10"/>
        <v>7.19</v>
      </c>
      <c r="D105" s="58">
        <f t="shared" si="10"/>
        <v>6.22</v>
      </c>
      <c r="E105" s="177">
        <f t="shared" si="10"/>
        <v>24.1</v>
      </c>
      <c r="F105" s="58">
        <f t="shared" si="10"/>
        <v>0</v>
      </c>
      <c r="G105" s="58">
        <f t="shared" si="10"/>
        <v>80</v>
      </c>
      <c r="H105" s="59">
        <f t="shared" si="10"/>
        <v>75</v>
      </c>
    </row>
    <row r="106" spans="1:8" ht="15.75" thickBot="1" x14ac:dyDescent="0.3">
      <c r="A106" s="157" t="s">
        <v>115</v>
      </c>
      <c r="B106" s="112">
        <f t="shared" ref="B106:H106" si="11">MAX(B91:B102)</f>
        <v>532</v>
      </c>
      <c r="C106" s="112">
        <f t="shared" si="11"/>
        <v>9.65</v>
      </c>
      <c r="D106" s="112">
        <f t="shared" si="11"/>
        <v>6.81</v>
      </c>
      <c r="E106" s="178">
        <f t="shared" si="11"/>
        <v>27.2</v>
      </c>
      <c r="F106" s="112">
        <f t="shared" si="11"/>
        <v>0.25</v>
      </c>
      <c r="G106" s="112">
        <f t="shared" si="11"/>
        <v>120</v>
      </c>
      <c r="H106" s="60">
        <f t="shared" si="11"/>
        <v>150</v>
      </c>
    </row>
    <row r="107" spans="1:8" x14ac:dyDescent="0.25">
      <c r="A107" s="37"/>
      <c r="B107" s="206"/>
      <c r="C107" s="206"/>
      <c r="D107" s="206"/>
      <c r="E107" s="207"/>
      <c r="F107" s="206"/>
      <c r="G107" s="206"/>
      <c r="H107" s="206"/>
    </row>
    <row r="108" spans="1:8" x14ac:dyDescent="0.25">
      <c r="A108" s="37"/>
      <c r="B108" s="206"/>
      <c r="C108" s="206"/>
      <c r="D108" s="206"/>
      <c r="E108" s="207"/>
      <c r="F108" s="206"/>
      <c r="G108" s="206"/>
      <c r="H108" s="206"/>
    </row>
    <row r="109" spans="1:8" x14ac:dyDescent="0.25">
      <c r="A109" s="37" t="s">
        <v>127</v>
      </c>
      <c r="B109" s="206"/>
      <c r="C109" s="206"/>
      <c r="D109" s="206"/>
      <c r="E109" s="207"/>
      <c r="F109" s="206"/>
      <c r="G109" s="206"/>
      <c r="H109" s="206"/>
    </row>
    <row r="110" spans="1:8" ht="30" x14ac:dyDescent="0.25">
      <c r="B110" s="121" t="s">
        <v>118</v>
      </c>
      <c r="C110" s="120" t="s">
        <v>106</v>
      </c>
      <c r="D110" s="120" t="s">
        <v>107</v>
      </c>
      <c r="E110" s="174" t="s">
        <v>119</v>
      </c>
      <c r="F110" s="120" t="s">
        <v>108</v>
      </c>
      <c r="G110" s="121" t="s">
        <v>109</v>
      </c>
      <c r="H110" s="121" t="s">
        <v>110</v>
      </c>
    </row>
    <row r="111" spans="1:8" x14ac:dyDescent="0.25">
      <c r="A111" s="156" t="s">
        <v>111</v>
      </c>
      <c r="B111">
        <f>AVERAGE(B$3:B$6,B$13:B$66,B$73:B$84,B$91:B$102)</f>
        <v>411.09876543209879</v>
      </c>
      <c r="C111">
        <f t="shared" ref="C111:H111" si="12">AVERAGE(C$3:C$6,C$13:C$66,C$73:C$84,C$91:C$102)</f>
        <v>8.3445569620253153</v>
      </c>
      <c r="D111">
        <f t="shared" si="12"/>
        <v>6.7319753086419745</v>
      </c>
      <c r="E111">
        <f t="shared" si="12"/>
        <v>25.132098765432094</v>
      </c>
      <c r="F111">
        <f t="shared" si="12"/>
        <v>0.11280487804878049</v>
      </c>
      <c r="G111">
        <f t="shared" si="12"/>
        <v>76.774193548387103</v>
      </c>
      <c r="H111">
        <f t="shared" si="12"/>
        <v>150</v>
      </c>
    </row>
    <row r="112" spans="1:8" x14ac:dyDescent="0.25">
      <c r="A112" s="156" t="s">
        <v>112</v>
      </c>
      <c r="B112">
        <f>STDEV(B$3:B$6,B$13:B$66,B$73:B$84,B$91:B$102)</f>
        <v>44.745559818341604</v>
      </c>
      <c r="C112">
        <f>STDEV(C$3:C$6,C$13:C$66,C$73:C$84,C$91:C$102)</f>
        <v>0.81751781517223565</v>
      </c>
      <c r="D112">
        <f>STDEV(D$3:D$6,D$13:D$66,D$73:D$84,D$91:D$102)</f>
        <v>0.51937322744122649</v>
      </c>
      <c r="E112">
        <f t="shared" ref="E112:H112" si="13">STDEV(E$3:E$6,E$13:E$66,E$73:E$84,E$91:E$102)</f>
        <v>1.3597635052182631</v>
      </c>
      <c r="F112">
        <f t="shared" si="13"/>
        <v>0.14778424706177101</v>
      </c>
      <c r="G112">
        <f t="shared" si="13"/>
        <v>17.202150403208989</v>
      </c>
      <c r="H112">
        <f t="shared" si="13"/>
        <v>33.541019662496844</v>
      </c>
    </row>
    <row r="113" spans="1:8" x14ac:dyDescent="0.25">
      <c r="A113" s="156" t="s">
        <v>114</v>
      </c>
      <c r="B113">
        <f t="shared" ref="B113:H113" si="14">MIN(B$3:B$6,B$13:B$66,B$73:B$84,B$91:B$102)</f>
        <v>356</v>
      </c>
      <c r="C113">
        <f t="shared" si="14"/>
        <v>7.02</v>
      </c>
      <c r="D113">
        <f t="shared" si="14"/>
        <v>6.12</v>
      </c>
      <c r="E113">
        <f t="shared" si="14"/>
        <v>22</v>
      </c>
      <c r="F113">
        <f t="shared" si="14"/>
        <v>0</v>
      </c>
      <c r="G113">
        <f t="shared" si="14"/>
        <v>60</v>
      </c>
      <c r="H113">
        <f t="shared" si="14"/>
        <v>75</v>
      </c>
    </row>
    <row r="114" spans="1:8" ht="15.75" thickBot="1" x14ac:dyDescent="0.3">
      <c r="A114" s="157" t="s">
        <v>115</v>
      </c>
      <c r="B114">
        <f t="shared" ref="B114:H114" si="15">MAX(B$3:B$6,B$13:B$66,B$73:B$84,B$91:B$102)</f>
        <v>620</v>
      </c>
      <c r="C114">
        <f t="shared" si="15"/>
        <v>11.86</v>
      </c>
      <c r="D114">
        <f t="shared" si="15"/>
        <v>9</v>
      </c>
      <c r="E114">
        <f t="shared" si="15"/>
        <v>28.5</v>
      </c>
      <c r="F114">
        <f t="shared" si="15"/>
        <v>0.5</v>
      </c>
      <c r="G114">
        <f t="shared" si="15"/>
        <v>120</v>
      </c>
      <c r="H114">
        <f t="shared" si="15"/>
        <v>300</v>
      </c>
    </row>
  </sheetData>
  <mergeCells count="4">
    <mergeCell ref="A89:H89"/>
    <mergeCell ref="A11:I11"/>
    <mergeCell ref="A1:F1"/>
    <mergeCell ref="A71:H7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I114"/>
  <sheetViews>
    <sheetView workbookViewId="0">
      <selection activeCell="N117" sqref="N117"/>
    </sheetView>
  </sheetViews>
  <sheetFormatPr defaultRowHeight="15" x14ac:dyDescent="0.25"/>
  <cols>
    <col min="2" max="2" width="8.5703125" style="29" customWidth="1"/>
    <col min="3" max="3" width="8.42578125" style="29" customWidth="1"/>
    <col min="4" max="4" width="8.5703125" style="29" customWidth="1"/>
    <col min="5" max="5" width="8" style="179" customWidth="1"/>
    <col min="6" max="6" width="11.140625" style="29" customWidth="1"/>
    <col min="7" max="7" width="11.7109375" style="184" customWidth="1"/>
    <col min="8" max="8" width="11.85546875" style="184" customWidth="1"/>
  </cols>
  <sheetData>
    <row r="1" spans="1:9" x14ac:dyDescent="0.25">
      <c r="A1" s="238" t="s">
        <v>105</v>
      </c>
      <c r="B1" s="239"/>
      <c r="C1" s="239"/>
      <c r="D1" s="239"/>
      <c r="E1" s="239"/>
      <c r="F1" s="239"/>
      <c r="G1" s="239"/>
      <c r="H1" s="240"/>
    </row>
    <row r="2" spans="1:9" ht="33.75" customHeight="1" x14ac:dyDescent="0.25">
      <c r="A2" s="12" t="s">
        <v>63</v>
      </c>
      <c r="B2" s="120" t="s">
        <v>117</v>
      </c>
      <c r="C2" s="120" t="s">
        <v>106</v>
      </c>
      <c r="D2" s="120" t="s">
        <v>107</v>
      </c>
      <c r="E2" s="174" t="s">
        <v>119</v>
      </c>
      <c r="F2" s="120" t="s">
        <v>108</v>
      </c>
      <c r="G2" s="180" t="s">
        <v>109</v>
      </c>
      <c r="H2" s="185" t="s">
        <v>110</v>
      </c>
    </row>
    <row r="3" spans="1:9" x14ac:dyDescent="0.25">
      <c r="A3" s="155">
        <v>43655</v>
      </c>
      <c r="B3" s="113">
        <v>10.76</v>
      </c>
      <c r="C3" s="113">
        <v>7.54</v>
      </c>
      <c r="D3" s="113">
        <v>7.2</v>
      </c>
      <c r="E3" s="175">
        <v>25.2</v>
      </c>
      <c r="F3" s="113">
        <v>0.25</v>
      </c>
      <c r="G3" s="181">
        <v>120</v>
      </c>
      <c r="H3" s="186">
        <v>300</v>
      </c>
    </row>
    <row r="4" spans="1:9" x14ac:dyDescent="0.25">
      <c r="A4" s="155">
        <v>43656</v>
      </c>
      <c r="B4" s="113">
        <v>10.91</v>
      </c>
      <c r="C4" s="113">
        <v>8.42</v>
      </c>
      <c r="D4" s="113">
        <v>6.81</v>
      </c>
      <c r="E4" s="175">
        <v>26.5</v>
      </c>
      <c r="F4" s="113">
        <v>0.25</v>
      </c>
      <c r="G4" s="181" t="s">
        <v>113</v>
      </c>
      <c r="H4" s="186" t="s">
        <v>113</v>
      </c>
    </row>
    <row r="5" spans="1:9" x14ac:dyDescent="0.25">
      <c r="A5" s="155">
        <v>43658</v>
      </c>
      <c r="B5" s="172" t="s">
        <v>113</v>
      </c>
      <c r="C5" s="113">
        <v>7.89</v>
      </c>
      <c r="D5" s="172" t="s">
        <v>113</v>
      </c>
      <c r="E5" s="176">
        <v>25.9</v>
      </c>
      <c r="F5" s="172">
        <v>0.5</v>
      </c>
      <c r="G5" s="181" t="s">
        <v>113</v>
      </c>
      <c r="H5" s="186" t="s">
        <v>113</v>
      </c>
    </row>
    <row r="6" spans="1:9" x14ac:dyDescent="0.25">
      <c r="A6" s="155">
        <v>43661</v>
      </c>
      <c r="B6" s="113">
        <v>11.06</v>
      </c>
      <c r="C6" s="113">
        <v>8.2899999999999991</v>
      </c>
      <c r="D6" s="113">
        <v>7.38</v>
      </c>
      <c r="E6" s="175">
        <v>25.9</v>
      </c>
      <c r="F6" s="113">
        <v>0.25</v>
      </c>
      <c r="G6" s="181">
        <v>120</v>
      </c>
      <c r="H6" s="186">
        <v>300</v>
      </c>
    </row>
    <row r="7" spans="1:9" x14ac:dyDescent="0.25">
      <c r="A7" s="156" t="s">
        <v>111</v>
      </c>
      <c r="B7" s="58">
        <f t="shared" ref="B7:H7" si="0">AVERAGE(B3:B6)</f>
        <v>10.910000000000002</v>
      </c>
      <c r="C7" s="58">
        <f t="shared" si="0"/>
        <v>8.0350000000000001</v>
      </c>
      <c r="D7" s="58">
        <f t="shared" si="0"/>
        <v>7.13</v>
      </c>
      <c r="E7" s="177">
        <f t="shared" si="0"/>
        <v>25.875</v>
      </c>
      <c r="F7" s="58">
        <f t="shared" si="0"/>
        <v>0.3125</v>
      </c>
      <c r="G7" s="182">
        <f t="shared" si="0"/>
        <v>120</v>
      </c>
      <c r="H7" s="187">
        <f t="shared" si="0"/>
        <v>300</v>
      </c>
    </row>
    <row r="8" spans="1:9" x14ac:dyDescent="0.25">
      <c r="A8" s="156" t="s">
        <v>112</v>
      </c>
      <c r="B8" s="58">
        <f t="shared" ref="B8:H8" si="1">_xlfn.STDEV.S(B3:B6)</f>
        <v>0.15000000000000036</v>
      </c>
      <c r="C8" s="58">
        <f t="shared" si="1"/>
        <v>0.39970822691891961</v>
      </c>
      <c r="D8" s="58">
        <f t="shared" si="1"/>
        <v>0.29137604568666953</v>
      </c>
      <c r="E8" s="177">
        <f t="shared" si="1"/>
        <v>0.53150729063673274</v>
      </c>
      <c r="F8" s="58">
        <f t="shared" si="1"/>
        <v>0.125</v>
      </c>
      <c r="G8" s="182">
        <f t="shared" si="1"/>
        <v>0</v>
      </c>
      <c r="H8" s="187">
        <f t="shared" si="1"/>
        <v>0</v>
      </c>
    </row>
    <row r="9" spans="1:9" x14ac:dyDescent="0.25">
      <c r="A9" s="156" t="s">
        <v>114</v>
      </c>
      <c r="B9" s="58">
        <f t="shared" ref="B9:H9" si="2">MIN(B3:B6)</f>
        <v>10.76</v>
      </c>
      <c r="C9" s="58">
        <f t="shared" si="2"/>
        <v>7.54</v>
      </c>
      <c r="D9" s="58">
        <f t="shared" si="2"/>
        <v>6.81</v>
      </c>
      <c r="E9" s="177">
        <f t="shared" si="2"/>
        <v>25.2</v>
      </c>
      <c r="F9" s="58">
        <f t="shared" si="2"/>
        <v>0.25</v>
      </c>
      <c r="G9" s="182">
        <f t="shared" si="2"/>
        <v>120</v>
      </c>
      <c r="H9" s="187">
        <f t="shared" si="2"/>
        <v>300</v>
      </c>
    </row>
    <row r="10" spans="1:9" ht="15.75" thickBot="1" x14ac:dyDescent="0.3">
      <c r="A10" s="156" t="s">
        <v>115</v>
      </c>
      <c r="B10" s="58">
        <f t="shared" ref="B10:H10" si="3">MAX(B3:B6)</f>
        <v>11.06</v>
      </c>
      <c r="C10" s="58">
        <f t="shared" si="3"/>
        <v>8.42</v>
      </c>
      <c r="D10" s="58">
        <f t="shared" si="3"/>
        <v>7.38</v>
      </c>
      <c r="E10" s="177">
        <f t="shared" si="3"/>
        <v>26.5</v>
      </c>
      <c r="F10" s="58">
        <f t="shared" si="3"/>
        <v>0.5</v>
      </c>
      <c r="G10" s="182">
        <f t="shared" si="3"/>
        <v>120</v>
      </c>
      <c r="H10" s="187">
        <f t="shared" si="3"/>
        <v>300</v>
      </c>
    </row>
    <row r="11" spans="1:9" x14ac:dyDescent="0.25">
      <c r="A11" s="238" t="s">
        <v>116</v>
      </c>
      <c r="B11" s="239"/>
      <c r="C11" s="239"/>
      <c r="D11" s="239"/>
      <c r="E11" s="239"/>
      <c r="F11" s="239"/>
      <c r="G11" s="239"/>
      <c r="H11" s="239"/>
      <c r="I11" s="240"/>
    </row>
    <row r="12" spans="1:9" ht="30" x14ac:dyDescent="0.25">
      <c r="A12" s="12" t="s">
        <v>63</v>
      </c>
      <c r="B12" s="120" t="s">
        <v>117</v>
      </c>
      <c r="C12" s="120" t="s">
        <v>106</v>
      </c>
      <c r="D12" s="120" t="s">
        <v>107</v>
      </c>
      <c r="E12" s="174" t="s">
        <v>119</v>
      </c>
      <c r="F12" s="120" t="s">
        <v>108</v>
      </c>
      <c r="G12" s="180" t="s">
        <v>109</v>
      </c>
      <c r="H12" s="180" t="s">
        <v>110</v>
      </c>
      <c r="I12" s="127" t="s">
        <v>0</v>
      </c>
    </row>
    <row r="13" spans="1:9" x14ac:dyDescent="0.25">
      <c r="A13" s="155">
        <v>43663</v>
      </c>
      <c r="B13" s="113">
        <v>10.61</v>
      </c>
      <c r="C13" s="113">
        <v>5.16</v>
      </c>
      <c r="D13" s="113">
        <v>6.65</v>
      </c>
      <c r="E13" s="175">
        <v>26</v>
      </c>
      <c r="F13" s="113">
        <v>1</v>
      </c>
      <c r="G13" s="71">
        <v>120</v>
      </c>
      <c r="H13" s="82">
        <v>300</v>
      </c>
      <c r="I13" s="15">
        <v>3</v>
      </c>
    </row>
    <row r="14" spans="1:9" x14ac:dyDescent="0.25">
      <c r="A14" s="155">
        <v>43663</v>
      </c>
      <c r="B14" s="113">
        <v>10.52</v>
      </c>
      <c r="C14" s="113">
        <v>6.31</v>
      </c>
      <c r="D14" s="113">
        <v>6.81</v>
      </c>
      <c r="E14" s="175">
        <v>25.9</v>
      </c>
      <c r="F14" s="113">
        <v>0.25</v>
      </c>
      <c r="G14" s="71">
        <v>120</v>
      </c>
      <c r="H14" s="82">
        <v>300</v>
      </c>
      <c r="I14" s="15">
        <v>17</v>
      </c>
    </row>
    <row r="15" spans="1:9" x14ac:dyDescent="0.25">
      <c r="A15" s="155">
        <v>43663</v>
      </c>
      <c r="B15" s="113">
        <v>10.44</v>
      </c>
      <c r="C15" s="113">
        <v>6.59</v>
      </c>
      <c r="D15" s="113">
        <v>7.34</v>
      </c>
      <c r="E15" s="175">
        <v>25.9</v>
      </c>
      <c r="F15" s="113">
        <v>0</v>
      </c>
      <c r="G15" s="71">
        <v>120</v>
      </c>
      <c r="H15" s="82">
        <v>300</v>
      </c>
      <c r="I15" s="15">
        <v>25</v>
      </c>
    </row>
    <row r="16" spans="1:9" x14ac:dyDescent="0.25">
      <c r="A16" s="155">
        <v>43665</v>
      </c>
      <c r="B16" s="113">
        <v>10.83</v>
      </c>
      <c r="C16" s="113">
        <v>7.52</v>
      </c>
      <c r="D16" s="173">
        <v>7.71</v>
      </c>
      <c r="E16" s="175">
        <v>26.1</v>
      </c>
      <c r="F16" s="113">
        <v>1</v>
      </c>
      <c r="G16" s="181" t="s">
        <v>113</v>
      </c>
      <c r="H16" s="181" t="s">
        <v>113</v>
      </c>
      <c r="I16" s="15">
        <v>2</v>
      </c>
    </row>
    <row r="17" spans="1:9" x14ac:dyDescent="0.25">
      <c r="A17" s="155">
        <v>43665</v>
      </c>
      <c r="B17" s="113">
        <v>10.48</v>
      </c>
      <c r="C17" s="113">
        <v>7.67</v>
      </c>
      <c r="D17" s="173">
        <v>7.79</v>
      </c>
      <c r="E17" s="175">
        <v>26.1</v>
      </c>
      <c r="F17" s="113">
        <v>0.25</v>
      </c>
      <c r="G17" s="181" t="s">
        <v>113</v>
      </c>
      <c r="H17" s="181" t="s">
        <v>113</v>
      </c>
      <c r="I17" s="15">
        <v>5</v>
      </c>
    </row>
    <row r="18" spans="1:9" x14ac:dyDescent="0.25">
      <c r="A18" s="155">
        <v>43665</v>
      </c>
      <c r="B18" s="113">
        <v>10.51</v>
      </c>
      <c r="C18" s="113">
        <v>7.7</v>
      </c>
      <c r="D18" s="173">
        <v>7.79</v>
      </c>
      <c r="E18" s="175">
        <v>26.1</v>
      </c>
      <c r="F18" s="113">
        <v>0.25</v>
      </c>
      <c r="G18" s="181" t="s">
        <v>113</v>
      </c>
      <c r="H18" s="181" t="s">
        <v>113</v>
      </c>
      <c r="I18" s="15">
        <v>27</v>
      </c>
    </row>
    <row r="19" spans="1:9" x14ac:dyDescent="0.25">
      <c r="A19" s="155">
        <v>43668</v>
      </c>
      <c r="B19" s="113">
        <v>10.99</v>
      </c>
      <c r="C19" s="113">
        <v>6.77</v>
      </c>
      <c r="D19" s="173">
        <v>7.42</v>
      </c>
      <c r="E19" s="175">
        <v>25.2</v>
      </c>
      <c r="F19" s="113">
        <v>0.25</v>
      </c>
      <c r="G19" s="82">
        <v>80</v>
      </c>
      <c r="H19" s="82">
        <v>300</v>
      </c>
      <c r="I19" s="15">
        <v>21</v>
      </c>
    </row>
    <row r="20" spans="1:9" x14ac:dyDescent="0.25">
      <c r="A20" s="155">
        <v>43668</v>
      </c>
      <c r="B20" s="113">
        <v>10.7</v>
      </c>
      <c r="C20" s="113">
        <v>6.87</v>
      </c>
      <c r="D20" s="173">
        <v>7.53</v>
      </c>
      <c r="E20" s="175">
        <v>25.2</v>
      </c>
      <c r="F20" s="113">
        <v>0.25</v>
      </c>
      <c r="G20" s="82">
        <v>80</v>
      </c>
      <c r="H20" s="82">
        <v>300</v>
      </c>
      <c r="I20" s="15">
        <v>32</v>
      </c>
    </row>
    <row r="21" spans="1:9" x14ac:dyDescent="0.25">
      <c r="A21" s="155">
        <v>43668</v>
      </c>
      <c r="B21" s="113">
        <v>10.71</v>
      </c>
      <c r="C21" s="113">
        <v>6.73</v>
      </c>
      <c r="D21" s="173">
        <v>7.61</v>
      </c>
      <c r="E21" s="175">
        <v>25.3</v>
      </c>
      <c r="F21" s="113">
        <v>0.25</v>
      </c>
      <c r="G21" s="82">
        <v>80</v>
      </c>
      <c r="H21" s="82">
        <v>300</v>
      </c>
      <c r="I21" s="15">
        <v>35</v>
      </c>
    </row>
    <row r="22" spans="1:9" x14ac:dyDescent="0.25">
      <c r="A22" s="155">
        <v>43670</v>
      </c>
      <c r="B22" s="113">
        <v>10.72</v>
      </c>
      <c r="C22" s="113">
        <v>10.66</v>
      </c>
      <c r="D22" s="173">
        <v>7.82</v>
      </c>
      <c r="E22" s="175">
        <v>25</v>
      </c>
      <c r="F22" s="113">
        <v>0.25</v>
      </c>
      <c r="G22" s="181" t="s">
        <v>113</v>
      </c>
      <c r="H22" s="181" t="s">
        <v>113</v>
      </c>
      <c r="I22" s="15">
        <v>7</v>
      </c>
    </row>
    <row r="23" spans="1:9" x14ac:dyDescent="0.25">
      <c r="A23" s="155">
        <v>43670</v>
      </c>
      <c r="B23" s="113">
        <v>10.75</v>
      </c>
      <c r="C23" s="113">
        <v>9.61</v>
      </c>
      <c r="D23" s="173">
        <v>7.82</v>
      </c>
      <c r="E23" s="175">
        <v>25</v>
      </c>
      <c r="F23" s="113">
        <v>0.25</v>
      </c>
      <c r="G23" s="181" t="s">
        <v>113</v>
      </c>
      <c r="H23" s="181" t="s">
        <v>113</v>
      </c>
      <c r="I23" s="15">
        <v>10</v>
      </c>
    </row>
    <row r="24" spans="1:9" x14ac:dyDescent="0.25">
      <c r="A24" s="155">
        <v>43670</v>
      </c>
      <c r="B24" s="113">
        <v>10.67</v>
      </c>
      <c r="C24" s="113">
        <v>8.34</v>
      </c>
      <c r="D24" s="173">
        <v>7.86</v>
      </c>
      <c r="E24" s="175">
        <v>25</v>
      </c>
      <c r="F24" s="113">
        <v>0.25</v>
      </c>
      <c r="G24" s="181" t="s">
        <v>113</v>
      </c>
      <c r="H24" s="181" t="s">
        <v>113</v>
      </c>
      <c r="I24" s="15">
        <v>20</v>
      </c>
    </row>
    <row r="25" spans="1:9" x14ac:dyDescent="0.25">
      <c r="A25" s="155">
        <v>43672</v>
      </c>
      <c r="B25" s="113">
        <v>11.41</v>
      </c>
      <c r="C25" s="172">
        <v>7.82</v>
      </c>
      <c r="D25" s="173">
        <v>6.7</v>
      </c>
      <c r="E25" s="175">
        <v>24.5</v>
      </c>
      <c r="F25" s="113">
        <v>0.25</v>
      </c>
      <c r="G25" s="181" t="s">
        <v>113</v>
      </c>
      <c r="H25" s="181" t="s">
        <v>113</v>
      </c>
      <c r="I25" s="15">
        <v>4</v>
      </c>
    </row>
    <row r="26" spans="1:9" x14ac:dyDescent="0.25">
      <c r="A26" s="155">
        <v>43672</v>
      </c>
      <c r="B26" s="113">
        <v>11.45</v>
      </c>
      <c r="C26" s="172">
        <v>8.01</v>
      </c>
      <c r="D26" s="173">
        <v>7.54</v>
      </c>
      <c r="E26" s="175">
        <v>24.6</v>
      </c>
      <c r="F26" s="113">
        <v>2</v>
      </c>
      <c r="G26" s="181" t="s">
        <v>113</v>
      </c>
      <c r="H26" s="181" t="s">
        <v>113</v>
      </c>
      <c r="I26" s="15">
        <v>11</v>
      </c>
    </row>
    <row r="27" spans="1:9" x14ac:dyDescent="0.25">
      <c r="A27" s="155">
        <v>43672</v>
      </c>
      <c r="B27" s="113">
        <v>11.14</v>
      </c>
      <c r="C27" s="172">
        <v>8.1199999999999992</v>
      </c>
      <c r="D27" s="173">
        <v>7.59</v>
      </c>
      <c r="E27" s="175">
        <v>24.9</v>
      </c>
      <c r="F27" s="113">
        <v>0.25</v>
      </c>
      <c r="G27" s="181" t="s">
        <v>113</v>
      </c>
      <c r="H27" s="181" t="s">
        <v>113</v>
      </c>
      <c r="I27" s="15">
        <v>22</v>
      </c>
    </row>
    <row r="28" spans="1:9" x14ac:dyDescent="0.25">
      <c r="A28" s="155">
        <v>43675</v>
      </c>
      <c r="B28" s="113">
        <v>11.2</v>
      </c>
      <c r="C28" s="113">
        <v>8.08</v>
      </c>
      <c r="D28" s="173">
        <v>7.78</v>
      </c>
      <c r="E28" s="175">
        <v>24.7</v>
      </c>
      <c r="F28" s="113">
        <v>0.25</v>
      </c>
      <c r="G28" s="82">
        <v>180</v>
      </c>
      <c r="H28" s="82">
        <v>300</v>
      </c>
      <c r="I28" s="15">
        <v>6</v>
      </c>
    </row>
    <row r="29" spans="1:9" x14ac:dyDescent="0.25">
      <c r="A29" s="155">
        <v>43675</v>
      </c>
      <c r="B29" s="113">
        <v>11.53</v>
      </c>
      <c r="C29" s="113">
        <v>7.78</v>
      </c>
      <c r="D29" s="173">
        <v>7.81</v>
      </c>
      <c r="E29" s="175">
        <v>24.7</v>
      </c>
      <c r="F29" s="113">
        <v>0.25</v>
      </c>
      <c r="G29" s="82">
        <v>180</v>
      </c>
      <c r="H29" s="82">
        <v>300</v>
      </c>
      <c r="I29" s="15">
        <v>12</v>
      </c>
    </row>
    <row r="30" spans="1:9" x14ac:dyDescent="0.25">
      <c r="A30" s="155">
        <v>43675</v>
      </c>
      <c r="B30" s="113">
        <v>11.74</v>
      </c>
      <c r="C30" s="113">
        <v>6.74</v>
      </c>
      <c r="D30" s="173">
        <v>7.83</v>
      </c>
      <c r="E30" s="175">
        <v>24.8</v>
      </c>
      <c r="F30" s="113">
        <v>0.5</v>
      </c>
      <c r="G30" s="181">
        <v>180</v>
      </c>
      <c r="H30" s="82">
        <v>300</v>
      </c>
      <c r="I30" s="15">
        <v>23</v>
      </c>
    </row>
    <row r="31" spans="1:9" x14ac:dyDescent="0.25">
      <c r="A31" s="155">
        <v>43677</v>
      </c>
      <c r="B31" s="113">
        <v>11.14</v>
      </c>
      <c r="C31" s="113">
        <v>9.2200000000000006</v>
      </c>
      <c r="D31" s="173">
        <v>7.94</v>
      </c>
      <c r="E31" s="175">
        <v>25.2</v>
      </c>
      <c r="F31" s="113">
        <v>0.25</v>
      </c>
      <c r="G31" s="181" t="s">
        <v>113</v>
      </c>
      <c r="H31" s="181" t="s">
        <v>113</v>
      </c>
      <c r="I31" s="15">
        <v>7</v>
      </c>
    </row>
    <row r="32" spans="1:9" x14ac:dyDescent="0.25">
      <c r="A32" s="155">
        <v>43677</v>
      </c>
      <c r="B32" s="113">
        <v>11.06</v>
      </c>
      <c r="C32" s="113">
        <v>8.92</v>
      </c>
      <c r="D32" s="173">
        <v>7.98</v>
      </c>
      <c r="E32" s="175">
        <v>25.2</v>
      </c>
      <c r="F32" s="113">
        <v>0.25</v>
      </c>
      <c r="G32" s="181" t="s">
        <v>113</v>
      </c>
      <c r="H32" s="181" t="s">
        <v>113</v>
      </c>
      <c r="I32" s="15">
        <v>13</v>
      </c>
    </row>
    <row r="33" spans="1:9" x14ac:dyDescent="0.25">
      <c r="A33" s="155">
        <v>43677</v>
      </c>
      <c r="B33" s="113">
        <v>11.02</v>
      </c>
      <c r="C33" s="113">
        <v>8.48</v>
      </c>
      <c r="D33" s="173">
        <v>8</v>
      </c>
      <c r="E33" s="175">
        <v>25.2</v>
      </c>
      <c r="F33" s="113">
        <v>0.25</v>
      </c>
      <c r="G33" s="181" t="s">
        <v>113</v>
      </c>
      <c r="H33" s="181" t="s">
        <v>113</v>
      </c>
      <c r="I33" s="15">
        <v>24</v>
      </c>
    </row>
    <row r="34" spans="1:9" x14ac:dyDescent="0.25">
      <c r="A34" s="155">
        <v>43679</v>
      </c>
      <c r="B34" s="113">
        <v>10.88</v>
      </c>
      <c r="C34" s="113">
        <v>7.3</v>
      </c>
      <c r="D34" s="173">
        <v>7.5</v>
      </c>
      <c r="E34" s="175">
        <v>26.7</v>
      </c>
      <c r="F34" s="113">
        <v>0</v>
      </c>
      <c r="G34" s="181" t="s">
        <v>113</v>
      </c>
      <c r="H34" s="181" t="s">
        <v>113</v>
      </c>
      <c r="I34" s="15">
        <v>8</v>
      </c>
    </row>
    <row r="35" spans="1:9" x14ac:dyDescent="0.25">
      <c r="A35" s="155">
        <v>43679</v>
      </c>
      <c r="B35" s="113">
        <v>11.02</v>
      </c>
      <c r="C35" s="113">
        <v>7.14</v>
      </c>
      <c r="D35" s="173">
        <v>7.59</v>
      </c>
      <c r="E35" s="175">
        <v>26.7</v>
      </c>
      <c r="F35" s="113">
        <v>0.25</v>
      </c>
      <c r="G35" s="181" t="s">
        <v>113</v>
      </c>
      <c r="H35" s="181" t="s">
        <v>113</v>
      </c>
      <c r="I35" s="15">
        <v>14</v>
      </c>
    </row>
    <row r="36" spans="1:9" x14ac:dyDescent="0.25">
      <c r="A36" s="155">
        <v>43679</v>
      </c>
      <c r="B36" s="113">
        <v>11.07</v>
      </c>
      <c r="C36" s="113">
        <v>7.01</v>
      </c>
      <c r="D36" s="173">
        <v>7.69</v>
      </c>
      <c r="E36" s="175">
        <v>26.7</v>
      </c>
      <c r="F36" s="113">
        <v>0.25</v>
      </c>
      <c r="G36" s="181" t="s">
        <v>113</v>
      </c>
      <c r="H36" s="181" t="s">
        <v>113</v>
      </c>
      <c r="I36" s="15">
        <v>26</v>
      </c>
    </row>
    <row r="37" spans="1:9" x14ac:dyDescent="0.25">
      <c r="A37" s="155">
        <v>43682</v>
      </c>
      <c r="B37" s="113">
        <v>11.24</v>
      </c>
      <c r="C37" s="113">
        <v>8.42</v>
      </c>
      <c r="D37" s="113">
        <v>7.28</v>
      </c>
      <c r="E37" s="175">
        <v>26</v>
      </c>
      <c r="F37" s="113">
        <v>0.25</v>
      </c>
      <c r="G37" s="82">
        <v>180</v>
      </c>
      <c r="H37" s="82">
        <v>300</v>
      </c>
      <c r="I37" s="15">
        <v>9</v>
      </c>
    </row>
    <row r="38" spans="1:9" x14ac:dyDescent="0.25">
      <c r="A38" s="155">
        <v>43682</v>
      </c>
      <c r="B38" s="113">
        <v>11.15</v>
      </c>
      <c r="C38" s="113">
        <v>7.77</v>
      </c>
      <c r="D38" s="113">
        <v>7.38</v>
      </c>
      <c r="E38" s="175">
        <v>25.8</v>
      </c>
      <c r="F38" s="113">
        <v>0.25</v>
      </c>
      <c r="G38" s="82">
        <v>180</v>
      </c>
      <c r="H38" s="82">
        <v>300</v>
      </c>
      <c r="I38" s="15">
        <v>15</v>
      </c>
    </row>
    <row r="39" spans="1:9" x14ac:dyDescent="0.25">
      <c r="A39" s="155">
        <v>43682</v>
      </c>
      <c r="B39" s="113">
        <v>11.22</v>
      </c>
      <c r="C39" s="113">
        <v>7.4</v>
      </c>
      <c r="D39" s="113">
        <v>7.41</v>
      </c>
      <c r="E39" s="175">
        <v>25.7</v>
      </c>
      <c r="F39" s="113">
        <v>0.25</v>
      </c>
      <c r="G39" s="82">
        <v>180</v>
      </c>
      <c r="H39" s="82">
        <v>300</v>
      </c>
      <c r="I39" s="15">
        <v>28</v>
      </c>
    </row>
    <row r="40" spans="1:9" x14ac:dyDescent="0.25">
      <c r="A40" s="155">
        <v>43684</v>
      </c>
      <c r="B40" s="113">
        <v>11.09</v>
      </c>
      <c r="C40" s="113">
        <v>9.92</v>
      </c>
      <c r="D40" s="113">
        <v>6.81</v>
      </c>
      <c r="E40" s="175">
        <v>25.7</v>
      </c>
      <c r="F40" s="113">
        <v>0.25</v>
      </c>
      <c r="G40" s="181" t="s">
        <v>113</v>
      </c>
      <c r="H40" s="181" t="s">
        <v>113</v>
      </c>
      <c r="I40" s="15">
        <v>34</v>
      </c>
    </row>
    <row r="41" spans="1:9" x14ac:dyDescent="0.25">
      <c r="A41" s="155">
        <v>43684</v>
      </c>
      <c r="B41" s="113">
        <v>11.11</v>
      </c>
      <c r="C41" s="113">
        <v>9.1300000000000008</v>
      </c>
      <c r="D41" s="113">
        <v>7.58</v>
      </c>
      <c r="E41" s="175">
        <v>25.7</v>
      </c>
      <c r="F41" s="113">
        <v>0.25</v>
      </c>
      <c r="G41" s="181" t="s">
        <v>113</v>
      </c>
      <c r="H41" s="181" t="s">
        <v>113</v>
      </c>
      <c r="I41" s="15">
        <v>16</v>
      </c>
    </row>
    <row r="42" spans="1:9" x14ac:dyDescent="0.25">
      <c r="A42" s="155">
        <v>43684</v>
      </c>
      <c r="B42" s="113">
        <v>11.25</v>
      </c>
      <c r="C42" s="113">
        <v>8.98</v>
      </c>
      <c r="D42" s="113">
        <v>7.75</v>
      </c>
      <c r="E42" s="175">
        <v>25.5</v>
      </c>
      <c r="F42" s="113">
        <v>0.25</v>
      </c>
      <c r="G42" s="181" t="s">
        <v>113</v>
      </c>
      <c r="H42" s="181" t="s">
        <v>113</v>
      </c>
      <c r="I42" s="15">
        <v>29</v>
      </c>
    </row>
    <row r="43" spans="1:9" x14ac:dyDescent="0.25">
      <c r="A43" s="155">
        <v>43686</v>
      </c>
      <c r="B43" s="113">
        <v>11.1</v>
      </c>
      <c r="C43" s="113">
        <v>8.6300000000000008</v>
      </c>
      <c r="D43" s="113">
        <v>7.15</v>
      </c>
      <c r="E43" s="175">
        <v>25.6</v>
      </c>
      <c r="F43" s="113">
        <v>0.25</v>
      </c>
      <c r="G43" s="181" t="s">
        <v>113</v>
      </c>
      <c r="H43" s="181" t="s">
        <v>113</v>
      </c>
      <c r="I43" s="15">
        <v>33</v>
      </c>
    </row>
    <row r="44" spans="1:9" x14ac:dyDescent="0.25">
      <c r="A44" s="155">
        <v>43686</v>
      </c>
      <c r="B44" s="113">
        <v>11.1</v>
      </c>
      <c r="C44" s="113">
        <v>8.3800000000000008</v>
      </c>
      <c r="D44" s="113">
        <v>7.28</v>
      </c>
      <c r="E44" s="175">
        <v>25.5</v>
      </c>
      <c r="F44" s="113">
        <v>0.25</v>
      </c>
      <c r="G44" s="181" t="s">
        <v>113</v>
      </c>
      <c r="H44" s="181" t="s">
        <v>113</v>
      </c>
      <c r="I44" s="15">
        <v>18</v>
      </c>
    </row>
    <row r="45" spans="1:9" x14ac:dyDescent="0.25">
      <c r="A45" s="155">
        <v>43686</v>
      </c>
      <c r="B45" s="113">
        <v>11.11</v>
      </c>
      <c r="C45" s="113">
        <v>8.44</v>
      </c>
      <c r="D45" s="113">
        <v>7.37</v>
      </c>
      <c r="E45" s="175">
        <v>25.5</v>
      </c>
      <c r="F45" s="113">
        <v>0.25</v>
      </c>
      <c r="G45" s="181" t="s">
        <v>113</v>
      </c>
      <c r="H45" s="181" t="s">
        <v>113</v>
      </c>
      <c r="I45" s="15">
        <v>30</v>
      </c>
    </row>
    <row r="46" spans="1:9" x14ac:dyDescent="0.25">
      <c r="A46" s="155">
        <v>43689</v>
      </c>
      <c r="B46" s="113">
        <v>10.49</v>
      </c>
      <c r="C46" s="113">
        <v>8.34</v>
      </c>
      <c r="D46" s="113">
        <v>6.79</v>
      </c>
      <c r="E46" s="175">
        <v>25.8</v>
      </c>
      <c r="F46" s="113">
        <v>0</v>
      </c>
      <c r="G46" s="82">
        <v>120</v>
      </c>
      <c r="H46" s="82">
        <v>300</v>
      </c>
      <c r="I46" s="15">
        <v>19</v>
      </c>
    </row>
    <row r="47" spans="1:9" x14ac:dyDescent="0.25">
      <c r="A47" s="155">
        <v>43689</v>
      </c>
      <c r="B47" s="113">
        <v>10.59</v>
      </c>
      <c r="C47" s="113">
        <v>8.64</v>
      </c>
      <c r="D47" s="113">
        <v>7.03</v>
      </c>
      <c r="E47" s="175">
        <v>25.7</v>
      </c>
      <c r="F47" s="113">
        <v>0</v>
      </c>
      <c r="G47" s="82">
        <v>120</v>
      </c>
      <c r="H47" s="82">
        <v>300</v>
      </c>
      <c r="I47" s="15">
        <v>31</v>
      </c>
    </row>
    <row r="48" spans="1:9" x14ac:dyDescent="0.25">
      <c r="A48" s="155">
        <v>43689</v>
      </c>
      <c r="B48" s="113">
        <v>10.56</v>
      </c>
      <c r="C48" s="113">
        <v>8.2799999999999994</v>
      </c>
      <c r="D48" s="113">
        <v>7.49</v>
      </c>
      <c r="E48" s="175">
        <v>25.7</v>
      </c>
      <c r="F48" s="113">
        <v>0</v>
      </c>
      <c r="G48" s="181">
        <v>120</v>
      </c>
      <c r="H48" s="82">
        <v>300</v>
      </c>
      <c r="I48" s="15">
        <v>1</v>
      </c>
    </row>
    <row r="49" spans="1:9" x14ac:dyDescent="0.25">
      <c r="A49" s="155">
        <v>43691</v>
      </c>
      <c r="B49" s="113">
        <v>10.55</v>
      </c>
      <c r="C49" s="113">
        <v>8.48</v>
      </c>
      <c r="D49" s="113">
        <v>7.8</v>
      </c>
      <c r="E49" s="175">
        <v>25.7</v>
      </c>
      <c r="F49" s="113">
        <v>0.25</v>
      </c>
      <c r="G49" s="181" t="s">
        <v>113</v>
      </c>
      <c r="H49" s="181" t="s">
        <v>113</v>
      </c>
      <c r="I49" s="15">
        <v>10</v>
      </c>
    </row>
    <row r="50" spans="1:9" x14ac:dyDescent="0.25">
      <c r="A50" s="155">
        <v>43691</v>
      </c>
      <c r="B50" s="113">
        <v>10.56</v>
      </c>
      <c r="C50" s="113">
        <v>8.44</v>
      </c>
      <c r="D50" s="113">
        <v>7.8</v>
      </c>
      <c r="E50" s="175">
        <v>25.7</v>
      </c>
      <c r="F50" s="113">
        <v>0.25</v>
      </c>
      <c r="G50" s="181" t="s">
        <v>113</v>
      </c>
      <c r="H50" s="181" t="s">
        <v>113</v>
      </c>
      <c r="I50" s="15">
        <v>25</v>
      </c>
    </row>
    <row r="51" spans="1:9" x14ac:dyDescent="0.25">
      <c r="A51" s="155">
        <v>43691</v>
      </c>
      <c r="B51" s="113">
        <v>10.45</v>
      </c>
      <c r="C51" s="113">
        <v>8.49</v>
      </c>
      <c r="D51" s="113">
        <v>7.8</v>
      </c>
      <c r="E51" s="175">
        <v>25.6</v>
      </c>
      <c r="F51" s="113">
        <v>0.25</v>
      </c>
      <c r="G51" s="181" t="s">
        <v>113</v>
      </c>
      <c r="H51" s="181" t="s">
        <v>113</v>
      </c>
      <c r="I51" s="15">
        <v>2</v>
      </c>
    </row>
    <row r="52" spans="1:9" x14ac:dyDescent="0.25">
      <c r="A52" s="155">
        <v>43693</v>
      </c>
      <c r="B52" s="113">
        <v>10.89</v>
      </c>
      <c r="C52" s="113">
        <v>8.4499999999999993</v>
      </c>
      <c r="D52" s="113">
        <v>7.67</v>
      </c>
      <c r="E52" s="175">
        <v>25.3</v>
      </c>
      <c r="F52" s="113">
        <v>0.25</v>
      </c>
      <c r="G52" s="181" t="s">
        <v>113</v>
      </c>
      <c r="H52" s="181" t="s">
        <v>113</v>
      </c>
      <c r="I52" s="15">
        <v>11</v>
      </c>
    </row>
    <row r="53" spans="1:9" x14ac:dyDescent="0.25">
      <c r="A53" s="155">
        <v>43693</v>
      </c>
      <c r="B53" s="113">
        <v>10.62</v>
      </c>
      <c r="C53" s="113">
        <v>8.58</v>
      </c>
      <c r="D53" s="113">
        <v>7.74</v>
      </c>
      <c r="E53" s="175">
        <v>25.4</v>
      </c>
      <c r="F53" s="113">
        <v>0</v>
      </c>
      <c r="G53" s="181" t="s">
        <v>113</v>
      </c>
      <c r="H53" s="181" t="s">
        <v>113</v>
      </c>
      <c r="I53" s="15">
        <v>26</v>
      </c>
    </row>
    <row r="54" spans="1:9" x14ac:dyDescent="0.25">
      <c r="A54" s="155">
        <v>43693</v>
      </c>
      <c r="B54" s="113">
        <v>10.65</v>
      </c>
      <c r="C54" s="113">
        <v>8.15</v>
      </c>
      <c r="D54" s="113">
        <v>7.79</v>
      </c>
      <c r="E54" s="175">
        <v>25.3</v>
      </c>
      <c r="F54" s="113">
        <v>0.25</v>
      </c>
      <c r="G54" s="181" t="s">
        <v>113</v>
      </c>
      <c r="H54" s="181" t="s">
        <v>113</v>
      </c>
      <c r="I54" s="15">
        <v>3</v>
      </c>
    </row>
    <row r="55" spans="1:9" x14ac:dyDescent="0.25">
      <c r="A55" s="155">
        <v>43696</v>
      </c>
      <c r="B55" s="113">
        <v>10.130000000000001</v>
      </c>
      <c r="C55" s="113">
        <v>8.42</v>
      </c>
      <c r="D55" s="113">
        <v>7.51</v>
      </c>
      <c r="E55" s="175">
        <v>25.8</v>
      </c>
      <c r="F55" s="113">
        <v>0.25</v>
      </c>
      <c r="G55" s="82">
        <v>120</v>
      </c>
      <c r="H55" s="82">
        <v>300</v>
      </c>
      <c r="I55" s="15">
        <v>12</v>
      </c>
    </row>
    <row r="56" spans="1:9" x14ac:dyDescent="0.25">
      <c r="A56" s="155">
        <v>43696</v>
      </c>
      <c r="B56" s="113">
        <v>10.08</v>
      </c>
      <c r="C56" s="113">
        <v>8.2899999999999991</v>
      </c>
      <c r="D56" s="113">
        <v>7.62</v>
      </c>
      <c r="E56" s="175">
        <v>25.8</v>
      </c>
      <c r="F56" s="113">
        <v>0.25</v>
      </c>
      <c r="G56" s="181">
        <v>120</v>
      </c>
      <c r="H56" s="82">
        <v>300</v>
      </c>
      <c r="I56" s="15">
        <v>27</v>
      </c>
    </row>
    <row r="57" spans="1:9" x14ac:dyDescent="0.25">
      <c r="A57" s="155">
        <v>43696</v>
      </c>
      <c r="B57" s="113">
        <v>10.01</v>
      </c>
      <c r="C57" s="113">
        <v>7.83</v>
      </c>
      <c r="D57" s="113">
        <v>7.69</v>
      </c>
      <c r="E57" s="175">
        <v>25.9</v>
      </c>
      <c r="F57" s="113">
        <v>0.25</v>
      </c>
      <c r="G57" s="82">
        <v>120</v>
      </c>
      <c r="H57" s="82">
        <v>300</v>
      </c>
      <c r="I57" s="15">
        <v>4</v>
      </c>
    </row>
    <row r="58" spans="1:9" x14ac:dyDescent="0.25">
      <c r="A58" s="155">
        <v>43699</v>
      </c>
      <c r="B58" s="113">
        <v>9.8800000000000008</v>
      </c>
      <c r="C58" s="113">
        <v>7.99</v>
      </c>
      <c r="D58" s="113">
        <v>7.99</v>
      </c>
      <c r="E58" s="175">
        <v>22.7</v>
      </c>
      <c r="F58" s="113">
        <v>0.25</v>
      </c>
      <c r="G58" s="181" t="s">
        <v>113</v>
      </c>
      <c r="H58" s="181" t="s">
        <v>113</v>
      </c>
      <c r="I58" s="15">
        <v>13</v>
      </c>
    </row>
    <row r="59" spans="1:9" x14ac:dyDescent="0.25">
      <c r="A59" s="155">
        <v>43699</v>
      </c>
      <c r="B59" s="113">
        <v>9.91</v>
      </c>
      <c r="C59" s="113">
        <v>7.8</v>
      </c>
      <c r="D59" s="113">
        <v>8</v>
      </c>
      <c r="E59" s="175">
        <v>22.7</v>
      </c>
      <c r="F59" s="113">
        <v>0.25</v>
      </c>
      <c r="G59" s="181" t="s">
        <v>113</v>
      </c>
      <c r="H59" s="181" t="s">
        <v>113</v>
      </c>
      <c r="I59" s="15">
        <v>28</v>
      </c>
    </row>
    <row r="60" spans="1:9" x14ac:dyDescent="0.25">
      <c r="A60" s="155">
        <v>43699</v>
      </c>
      <c r="B60" s="113">
        <v>9.92</v>
      </c>
      <c r="C60" s="113">
        <v>7.39</v>
      </c>
      <c r="D60" s="113">
        <v>8</v>
      </c>
      <c r="E60" s="175">
        <v>22.8</v>
      </c>
      <c r="F60" s="113">
        <v>0.25</v>
      </c>
      <c r="G60" s="181" t="s">
        <v>113</v>
      </c>
      <c r="H60" s="181" t="s">
        <v>113</v>
      </c>
      <c r="I60" s="15">
        <v>5</v>
      </c>
    </row>
    <row r="61" spans="1:9" x14ac:dyDescent="0.25">
      <c r="A61" s="155">
        <v>43700</v>
      </c>
      <c r="B61" s="113">
        <v>10.23</v>
      </c>
      <c r="C61" s="113">
        <v>8.4</v>
      </c>
      <c r="D61" s="113">
        <v>8.02</v>
      </c>
      <c r="E61" s="175">
        <v>22.8</v>
      </c>
      <c r="F61" s="113">
        <v>0.25</v>
      </c>
      <c r="G61" s="181" t="s">
        <v>113</v>
      </c>
      <c r="H61" s="181" t="s">
        <v>113</v>
      </c>
      <c r="I61" s="15">
        <v>14</v>
      </c>
    </row>
    <row r="62" spans="1:9" x14ac:dyDescent="0.25">
      <c r="A62" s="155">
        <v>43700</v>
      </c>
      <c r="B62" s="113">
        <v>10.26</v>
      </c>
      <c r="C62" s="113">
        <v>8.1300000000000008</v>
      </c>
      <c r="D62" s="113">
        <v>8.0500000000000007</v>
      </c>
      <c r="E62" s="175">
        <v>22.8</v>
      </c>
      <c r="F62" s="113">
        <v>0.25</v>
      </c>
      <c r="G62" s="181" t="s">
        <v>113</v>
      </c>
      <c r="H62" s="181" t="s">
        <v>113</v>
      </c>
      <c r="I62" s="15">
        <v>29</v>
      </c>
    </row>
    <row r="63" spans="1:9" x14ac:dyDescent="0.25">
      <c r="A63" s="155">
        <v>43700</v>
      </c>
      <c r="B63" s="113">
        <v>10.199999999999999</v>
      </c>
      <c r="C63" s="113">
        <v>7.85</v>
      </c>
      <c r="D63" s="113">
        <v>8.0500000000000007</v>
      </c>
      <c r="E63" s="175">
        <v>22.7</v>
      </c>
      <c r="F63" s="113">
        <v>0.25</v>
      </c>
      <c r="G63" s="181" t="s">
        <v>113</v>
      </c>
      <c r="H63" s="181" t="s">
        <v>113</v>
      </c>
      <c r="I63" s="15">
        <v>6</v>
      </c>
    </row>
    <row r="64" spans="1:9" x14ac:dyDescent="0.25">
      <c r="A64" s="155">
        <v>43703</v>
      </c>
      <c r="B64" s="113">
        <v>10.3</v>
      </c>
      <c r="C64" s="113">
        <v>10.61</v>
      </c>
      <c r="D64" s="113">
        <v>8.4</v>
      </c>
      <c r="E64" s="175">
        <v>25.4</v>
      </c>
      <c r="F64" s="113">
        <v>0.25</v>
      </c>
      <c r="G64" s="82">
        <v>120</v>
      </c>
      <c r="H64" s="82">
        <v>300</v>
      </c>
      <c r="I64" s="15">
        <v>15</v>
      </c>
    </row>
    <row r="65" spans="1:9" x14ac:dyDescent="0.25">
      <c r="A65" s="155">
        <v>43703</v>
      </c>
      <c r="B65" s="113">
        <v>10.24</v>
      </c>
      <c r="C65" s="113">
        <v>10.4</v>
      </c>
      <c r="D65" s="113">
        <v>8.4</v>
      </c>
      <c r="E65" s="175">
        <v>25.3</v>
      </c>
      <c r="F65" s="113">
        <v>0.25</v>
      </c>
      <c r="G65" s="82">
        <v>120</v>
      </c>
      <c r="H65" s="82">
        <v>300</v>
      </c>
      <c r="I65" s="15">
        <v>30</v>
      </c>
    </row>
    <row r="66" spans="1:9" x14ac:dyDescent="0.25">
      <c r="A66" s="155">
        <v>43703</v>
      </c>
      <c r="B66" s="113">
        <v>10.130000000000001</v>
      </c>
      <c r="C66" s="113">
        <v>10.6</v>
      </c>
      <c r="D66" s="113">
        <v>8.4</v>
      </c>
      <c r="E66" s="175">
        <v>25.3</v>
      </c>
      <c r="F66" s="113">
        <v>0.25</v>
      </c>
      <c r="G66" s="82">
        <v>120</v>
      </c>
      <c r="H66" s="82">
        <v>300</v>
      </c>
      <c r="I66" s="15">
        <v>7</v>
      </c>
    </row>
    <row r="67" spans="1:9" x14ac:dyDescent="0.25">
      <c r="A67" s="156" t="s">
        <v>111</v>
      </c>
      <c r="B67" s="58">
        <f t="shared" ref="B67:H67" si="4">AVERAGE(B13:B66)</f>
        <v>10.733518518518519</v>
      </c>
      <c r="C67" s="58">
        <f t="shared" si="4"/>
        <v>8.1699999999999982</v>
      </c>
      <c r="D67" s="58">
        <f t="shared" si="4"/>
        <v>7.632407407407408</v>
      </c>
      <c r="E67" s="177">
        <f t="shared" si="4"/>
        <v>25.220370370370375</v>
      </c>
      <c r="F67" s="58">
        <f t="shared" si="4"/>
        <v>0.28703703703703703</v>
      </c>
      <c r="G67" s="182">
        <f t="shared" si="4"/>
        <v>131.42857142857142</v>
      </c>
      <c r="H67" s="182">
        <f t="shared" si="4"/>
        <v>300</v>
      </c>
      <c r="I67" s="44"/>
    </row>
    <row r="68" spans="1:9" x14ac:dyDescent="0.25">
      <c r="A68" s="156" t="s">
        <v>112</v>
      </c>
      <c r="B68" s="58">
        <f t="shared" ref="B68:H68" si="5">_xlfn.STDEV.S(B13:B66)</f>
        <v>0.45071916289585179</v>
      </c>
      <c r="C68" s="58">
        <f t="shared" si="5"/>
        <v>1.0792974654227445</v>
      </c>
      <c r="D68" s="58">
        <f t="shared" si="5"/>
        <v>0.40189144871204796</v>
      </c>
      <c r="E68" s="177">
        <f t="shared" si="5"/>
        <v>1.0053403872320361</v>
      </c>
      <c r="F68" s="58">
        <f t="shared" si="5"/>
        <v>0.29302990786652267</v>
      </c>
      <c r="G68" s="182">
        <f t="shared" si="5"/>
        <v>34.392690253266636</v>
      </c>
      <c r="H68" s="182">
        <f t="shared" si="5"/>
        <v>0</v>
      </c>
      <c r="I68" s="44"/>
    </row>
    <row r="69" spans="1:9" x14ac:dyDescent="0.25">
      <c r="A69" s="156" t="s">
        <v>114</v>
      </c>
      <c r="B69" s="58">
        <f t="shared" ref="B69:H69" si="6">MIN(B13:B66)</f>
        <v>9.8800000000000008</v>
      </c>
      <c r="C69" s="58">
        <f t="shared" si="6"/>
        <v>5.16</v>
      </c>
      <c r="D69" s="58">
        <f t="shared" si="6"/>
        <v>6.65</v>
      </c>
      <c r="E69" s="177">
        <f t="shared" si="6"/>
        <v>22.7</v>
      </c>
      <c r="F69" s="58">
        <f t="shared" si="6"/>
        <v>0</v>
      </c>
      <c r="G69" s="182">
        <f t="shared" si="6"/>
        <v>80</v>
      </c>
      <c r="H69" s="182">
        <f t="shared" si="6"/>
        <v>300</v>
      </c>
      <c r="I69" s="44"/>
    </row>
    <row r="70" spans="1:9" ht="15.75" thickBot="1" x14ac:dyDescent="0.3">
      <c r="A70" s="157" t="s">
        <v>115</v>
      </c>
      <c r="B70" s="112">
        <f t="shared" ref="B70:H70" si="7">MAX(B13:B66)</f>
        <v>11.74</v>
      </c>
      <c r="C70" s="112">
        <f t="shared" si="7"/>
        <v>10.66</v>
      </c>
      <c r="D70" s="112">
        <f t="shared" si="7"/>
        <v>8.4</v>
      </c>
      <c r="E70" s="178">
        <f t="shared" si="7"/>
        <v>26.7</v>
      </c>
      <c r="F70" s="112">
        <f t="shared" si="7"/>
        <v>2</v>
      </c>
      <c r="G70" s="183">
        <f t="shared" si="7"/>
        <v>180</v>
      </c>
      <c r="H70" s="183">
        <f t="shared" si="7"/>
        <v>300</v>
      </c>
      <c r="I70" s="158"/>
    </row>
    <row r="71" spans="1:9" x14ac:dyDescent="0.25">
      <c r="A71" s="238" t="s">
        <v>40</v>
      </c>
      <c r="B71" s="239"/>
      <c r="C71" s="239"/>
      <c r="D71" s="239"/>
      <c r="E71" s="239"/>
      <c r="F71" s="239"/>
      <c r="G71" s="239"/>
      <c r="H71" s="240"/>
      <c r="I71" s="99"/>
    </row>
    <row r="72" spans="1:9" ht="30" x14ac:dyDescent="0.25">
      <c r="A72" s="12" t="s">
        <v>63</v>
      </c>
      <c r="B72" s="120" t="s">
        <v>117</v>
      </c>
      <c r="C72" s="120" t="s">
        <v>106</v>
      </c>
      <c r="D72" s="120" t="s">
        <v>107</v>
      </c>
      <c r="E72" s="174" t="s">
        <v>119</v>
      </c>
      <c r="F72" s="120" t="s">
        <v>108</v>
      </c>
      <c r="G72" s="180" t="s">
        <v>109</v>
      </c>
      <c r="H72" s="185" t="s">
        <v>110</v>
      </c>
      <c r="I72" s="27"/>
    </row>
    <row r="73" spans="1:9" x14ac:dyDescent="0.25">
      <c r="A73" s="155">
        <v>43699</v>
      </c>
      <c r="B73" s="113">
        <v>8.8699999999999992</v>
      </c>
      <c r="C73" s="113">
        <v>8.94</v>
      </c>
      <c r="D73" s="113">
        <v>7.95</v>
      </c>
      <c r="E73" s="175">
        <v>21.3</v>
      </c>
      <c r="F73" s="113">
        <v>0.25</v>
      </c>
      <c r="G73" s="82">
        <v>120</v>
      </c>
      <c r="H73" s="188">
        <v>300</v>
      </c>
    </row>
    <row r="74" spans="1:9" x14ac:dyDescent="0.25">
      <c r="A74" s="155">
        <v>43700</v>
      </c>
      <c r="B74" s="113">
        <v>9.5299999999999994</v>
      </c>
      <c r="C74" s="113">
        <v>8.35</v>
      </c>
      <c r="D74" s="113">
        <v>8.07</v>
      </c>
      <c r="E74" s="175">
        <v>21</v>
      </c>
      <c r="F74" s="113">
        <v>0.25</v>
      </c>
      <c r="G74" s="181" t="s">
        <v>113</v>
      </c>
      <c r="H74" s="186" t="s">
        <v>113</v>
      </c>
    </row>
    <row r="75" spans="1:9" x14ac:dyDescent="0.25">
      <c r="A75" s="155">
        <v>43703</v>
      </c>
      <c r="B75" s="113">
        <v>9.82</v>
      </c>
      <c r="C75" s="113">
        <v>11.8</v>
      </c>
      <c r="D75" s="113">
        <v>8.4</v>
      </c>
      <c r="E75" s="175">
        <v>25.3</v>
      </c>
      <c r="F75" s="113">
        <v>0.25</v>
      </c>
      <c r="G75" s="181">
        <v>120</v>
      </c>
      <c r="H75" s="188">
        <v>300</v>
      </c>
    </row>
    <row r="76" spans="1:9" x14ac:dyDescent="0.25">
      <c r="A76" s="155">
        <v>43706</v>
      </c>
      <c r="B76" s="113">
        <v>10.69</v>
      </c>
      <c r="C76" s="113">
        <v>8.66</v>
      </c>
      <c r="D76" s="113">
        <v>8.02</v>
      </c>
      <c r="E76" s="175">
        <v>21.5</v>
      </c>
      <c r="F76" s="113">
        <v>0.5</v>
      </c>
      <c r="G76" s="181" t="s">
        <v>113</v>
      </c>
      <c r="H76" s="186" t="s">
        <v>113</v>
      </c>
    </row>
    <row r="77" spans="1:9" x14ac:dyDescent="0.25">
      <c r="A77" s="155">
        <v>43707</v>
      </c>
      <c r="B77" s="113">
        <v>10.91</v>
      </c>
      <c r="C77" s="113">
        <v>8.2100000000000009</v>
      </c>
      <c r="D77" s="113">
        <v>8.1</v>
      </c>
      <c r="E77" s="175">
        <v>21.8</v>
      </c>
      <c r="F77" s="113">
        <v>0.5</v>
      </c>
      <c r="G77" s="181" t="s">
        <v>113</v>
      </c>
      <c r="H77" s="186" t="s">
        <v>113</v>
      </c>
    </row>
    <row r="78" spans="1:9" x14ac:dyDescent="0.25">
      <c r="A78" s="155">
        <v>43711</v>
      </c>
      <c r="B78" s="113">
        <v>10.96</v>
      </c>
      <c r="C78" s="113">
        <v>7.78</v>
      </c>
      <c r="D78" s="113">
        <v>8</v>
      </c>
      <c r="E78" s="175">
        <v>21.8</v>
      </c>
      <c r="F78" s="113">
        <v>1</v>
      </c>
      <c r="G78" s="181">
        <v>120</v>
      </c>
      <c r="H78" s="188">
        <v>300</v>
      </c>
    </row>
    <row r="79" spans="1:9" x14ac:dyDescent="0.25">
      <c r="A79" s="155">
        <v>43712</v>
      </c>
      <c r="B79" s="113">
        <v>10.45</v>
      </c>
      <c r="C79" s="113">
        <v>8.56</v>
      </c>
      <c r="D79" s="113">
        <v>7.99</v>
      </c>
      <c r="E79" s="175">
        <v>21.9</v>
      </c>
      <c r="F79" s="113">
        <v>1</v>
      </c>
      <c r="G79" s="181" t="s">
        <v>113</v>
      </c>
      <c r="H79" s="186" t="s">
        <v>113</v>
      </c>
    </row>
    <row r="80" spans="1:9" x14ac:dyDescent="0.25">
      <c r="A80" s="155">
        <v>43714</v>
      </c>
      <c r="B80" s="113">
        <v>10.71</v>
      </c>
      <c r="C80" s="113">
        <v>7.81</v>
      </c>
      <c r="D80" s="113">
        <v>8.08</v>
      </c>
      <c r="E80" s="175">
        <v>23.9</v>
      </c>
      <c r="F80" s="113">
        <v>1</v>
      </c>
      <c r="G80" s="181" t="s">
        <v>113</v>
      </c>
      <c r="H80" s="186" t="s">
        <v>113</v>
      </c>
    </row>
    <row r="81" spans="1:8" x14ac:dyDescent="0.25">
      <c r="A81" s="155">
        <v>43717</v>
      </c>
      <c r="B81" s="113">
        <v>10.69</v>
      </c>
      <c r="C81" s="113">
        <v>8.2200000000000006</v>
      </c>
      <c r="D81" s="113">
        <v>8.0399999999999991</v>
      </c>
      <c r="E81" s="175">
        <v>21.6</v>
      </c>
      <c r="F81" s="113">
        <v>1</v>
      </c>
      <c r="G81" s="82">
        <v>80</v>
      </c>
      <c r="H81" s="188">
        <v>425</v>
      </c>
    </row>
    <row r="82" spans="1:8" x14ac:dyDescent="0.25">
      <c r="A82" s="155">
        <v>43719</v>
      </c>
      <c r="B82" s="113">
        <v>11.54</v>
      </c>
      <c r="C82" s="113">
        <v>8.07</v>
      </c>
      <c r="D82" s="113">
        <v>8.0399999999999991</v>
      </c>
      <c r="E82" s="175">
        <v>22.1</v>
      </c>
      <c r="F82" s="113">
        <v>1</v>
      </c>
      <c r="G82" s="181" t="s">
        <v>113</v>
      </c>
      <c r="H82" s="186" t="s">
        <v>113</v>
      </c>
    </row>
    <row r="83" spans="1:8" x14ac:dyDescent="0.25">
      <c r="A83" s="155">
        <v>43721</v>
      </c>
      <c r="B83" s="113">
        <v>11.81</v>
      </c>
      <c r="C83" s="113">
        <v>7.66</v>
      </c>
      <c r="D83" s="113">
        <v>8.02</v>
      </c>
      <c r="E83" s="175">
        <v>23.5</v>
      </c>
      <c r="F83" s="113">
        <v>0.5</v>
      </c>
      <c r="G83" s="181" t="s">
        <v>113</v>
      </c>
      <c r="H83" s="186" t="s">
        <v>113</v>
      </c>
    </row>
    <row r="84" spans="1:8" x14ac:dyDescent="0.25">
      <c r="A84" s="155">
        <v>43724</v>
      </c>
      <c r="B84" s="113">
        <v>12.11</v>
      </c>
      <c r="C84" s="113">
        <v>8.4</v>
      </c>
      <c r="D84" s="113">
        <v>8.19</v>
      </c>
      <c r="E84" s="175">
        <v>21.6</v>
      </c>
      <c r="F84" s="113">
        <v>0.25</v>
      </c>
      <c r="G84" s="82">
        <v>80</v>
      </c>
      <c r="H84" s="188">
        <v>425</v>
      </c>
    </row>
    <row r="85" spans="1:8" x14ac:dyDescent="0.25">
      <c r="A85" s="156" t="s">
        <v>111</v>
      </c>
      <c r="B85" s="58">
        <f t="shared" ref="B85:H85" si="8">AVERAGE(B73:B84)</f>
        <v>10.674166666666665</v>
      </c>
      <c r="C85" s="58">
        <f t="shared" si="8"/>
        <v>8.538333333333334</v>
      </c>
      <c r="D85" s="58">
        <f t="shared" si="8"/>
        <v>8.0749999999999993</v>
      </c>
      <c r="E85" s="177">
        <f t="shared" si="8"/>
        <v>22.275000000000002</v>
      </c>
      <c r="F85" s="58">
        <f t="shared" si="8"/>
        <v>0.625</v>
      </c>
      <c r="G85" s="182">
        <f t="shared" si="8"/>
        <v>104</v>
      </c>
      <c r="H85" s="187">
        <f t="shared" si="8"/>
        <v>350</v>
      </c>
    </row>
    <row r="86" spans="1:8" x14ac:dyDescent="0.25">
      <c r="A86" s="156" t="s">
        <v>112</v>
      </c>
      <c r="B86" s="58">
        <f t="shared" ref="B86:H86" si="9">_xlfn.STDEV.S(B73:B84)</f>
        <v>0.9334438516817305</v>
      </c>
      <c r="C86" s="58">
        <f t="shared" si="9"/>
        <v>1.0944141922701855</v>
      </c>
      <c r="D86" s="58">
        <f t="shared" si="9"/>
        <v>0.11927813180660042</v>
      </c>
      <c r="E86" s="177">
        <f t="shared" si="9"/>
        <v>1.2792931286811904</v>
      </c>
      <c r="F86" s="58">
        <f t="shared" si="9"/>
        <v>0.34542463985387872</v>
      </c>
      <c r="G86" s="182">
        <f t="shared" si="9"/>
        <v>21.908902300206645</v>
      </c>
      <c r="H86" s="187">
        <f t="shared" si="9"/>
        <v>68.465319688145769</v>
      </c>
    </row>
    <row r="87" spans="1:8" x14ac:dyDescent="0.25">
      <c r="A87" s="156" t="s">
        <v>114</v>
      </c>
      <c r="B87" s="58">
        <f t="shared" ref="B87:H87" si="10">MIN(B73:B84)</f>
        <v>8.8699999999999992</v>
      </c>
      <c r="C87" s="58">
        <f t="shared" si="10"/>
        <v>7.66</v>
      </c>
      <c r="D87" s="58">
        <f t="shared" si="10"/>
        <v>7.95</v>
      </c>
      <c r="E87" s="177">
        <f t="shared" si="10"/>
        <v>21</v>
      </c>
      <c r="F87" s="58">
        <f t="shared" si="10"/>
        <v>0.25</v>
      </c>
      <c r="G87" s="182">
        <f t="shared" si="10"/>
        <v>80</v>
      </c>
      <c r="H87" s="187">
        <f t="shared" si="10"/>
        <v>300</v>
      </c>
    </row>
    <row r="88" spans="1:8" ht="15.75" thickBot="1" x14ac:dyDescent="0.3">
      <c r="A88" s="157" t="s">
        <v>115</v>
      </c>
      <c r="B88" s="112">
        <f t="shared" ref="B88:H88" si="11">MAX(B73:B84)</f>
        <v>12.11</v>
      </c>
      <c r="C88" s="112">
        <f t="shared" si="11"/>
        <v>11.8</v>
      </c>
      <c r="D88" s="112">
        <f t="shared" si="11"/>
        <v>8.4</v>
      </c>
      <c r="E88" s="178">
        <f t="shared" si="11"/>
        <v>25.3</v>
      </c>
      <c r="F88" s="112">
        <f t="shared" si="11"/>
        <v>1</v>
      </c>
      <c r="G88" s="183">
        <f t="shared" si="11"/>
        <v>120</v>
      </c>
      <c r="H88" s="189">
        <f t="shared" si="11"/>
        <v>425</v>
      </c>
    </row>
    <row r="89" spans="1:8" x14ac:dyDescent="0.25">
      <c r="A89" s="238" t="s">
        <v>39</v>
      </c>
      <c r="B89" s="239"/>
      <c r="C89" s="239"/>
      <c r="D89" s="239"/>
      <c r="E89" s="239"/>
      <c r="F89" s="239"/>
      <c r="G89" s="239"/>
      <c r="H89" s="240"/>
    </row>
    <row r="90" spans="1:8" ht="30" x14ac:dyDescent="0.25">
      <c r="A90" s="12" t="s">
        <v>63</v>
      </c>
      <c r="B90" s="120" t="s">
        <v>117</v>
      </c>
      <c r="C90" s="120" t="s">
        <v>106</v>
      </c>
      <c r="D90" s="120" t="s">
        <v>107</v>
      </c>
      <c r="E90" s="174" t="s">
        <v>119</v>
      </c>
      <c r="F90" s="120" t="s">
        <v>108</v>
      </c>
      <c r="G90" s="180" t="s">
        <v>109</v>
      </c>
      <c r="H90" s="185" t="s">
        <v>110</v>
      </c>
    </row>
    <row r="91" spans="1:8" x14ac:dyDescent="0.25">
      <c r="A91" s="155">
        <v>43705</v>
      </c>
      <c r="B91" s="113">
        <v>10.34</v>
      </c>
      <c r="C91" s="113">
        <v>8.35</v>
      </c>
      <c r="D91" s="113">
        <v>8.02</v>
      </c>
      <c r="E91" s="175">
        <v>21.5</v>
      </c>
      <c r="F91" s="113">
        <v>0.25</v>
      </c>
      <c r="G91" s="82">
        <v>120</v>
      </c>
      <c r="H91" s="188">
        <v>300</v>
      </c>
    </row>
    <row r="92" spans="1:8" x14ac:dyDescent="0.25">
      <c r="A92" s="155">
        <v>43707</v>
      </c>
      <c r="B92" s="113">
        <v>10.66</v>
      </c>
      <c r="C92" s="113">
        <v>8.4600000000000009</v>
      </c>
      <c r="D92" s="113">
        <v>8.06</v>
      </c>
      <c r="E92" s="175">
        <v>21.8</v>
      </c>
      <c r="F92" s="113">
        <v>0.25</v>
      </c>
      <c r="G92" s="181" t="s">
        <v>113</v>
      </c>
      <c r="H92" s="186" t="s">
        <v>113</v>
      </c>
    </row>
    <row r="93" spans="1:8" x14ac:dyDescent="0.25">
      <c r="A93" s="155">
        <v>43711</v>
      </c>
      <c r="B93" s="113">
        <v>10.64</v>
      </c>
      <c r="C93" s="113">
        <v>8.39</v>
      </c>
      <c r="D93" s="113">
        <v>7.99</v>
      </c>
      <c r="E93" s="175">
        <v>21.9</v>
      </c>
      <c r="F93" s="113">
        <v>0.25</v>
      </c>
      <c r="G93" s="82">
        <v>80</v>
      </c>
      <c r="H93" s="188">
        <v>425</v>
      </c>
    </row>
    <row r="94" spans="1:8" x14ac:dyDescent="0.25">
      <c r="A94" s="155">
        <v>43712</v>
      </c>
      <c r="B94" s="113">
        <v>10.07</v>
      </c>
      <c r="C94" s="113">
        <v>8.24</v>
      </c>
      <c r="D94" s="113">
        <v>7.95</v>
      </c>
      <c r="E94" s="175">
        <v>21.8</v>
      </c>
      <c r="F94" s="113">
        <v>0.25</v>
      </c>
      <c r="G94" s="181" t="s">
        <v>113</v>
      </c>
      <c r="H94" s="186" t="s">
        <v>113</v>
      </c>
    </row>
    <row r="95" spans="1:8" x14ac:dyDescent="0.25">
      <c r="A95" s="155">
        <v>43714</v>
      </c>
      <c r="B95" s="113">
        <v>10.49</v>
      </c>
      <c r="C95" s="113">
        <v>7.21</v>
      </c>
      <c r="D95" s="113">
        <v>8.0299999999999994</v>
      </c>
      <c r="E95" s="175">
        <v>24.1</v>
      </c>
      <c r="F95" s="113">
        <v>0.25</v>
      </c>
      <c r="G95" s="181" t="s">
        <v>113</v>
      </c>
      <c r="H95" s="186" t="s">
        <v>113</v>
      </c>
    </row>
    <row r="96" spans="1:8" x14ac:dyDescent="0.25">
      <c r="A96" s="155">
        <v>43717</v>
      </c>
      <c r="B96" s="113">
        <v>10.52</v>
      </c>
      <c r="C96" s="113">
        <v>8.49</v>
      </c>
      <c r="D96" s="113">
        <v>8</v>
      </c>
      <c r="E96" s="175">
        <v>21.6</v>
      </c>
      <c r="F96" s="113">
        <v>0.5</v>
      </c>
      <c r="G96" s="82">
        <v>80</v>
      </c>
      <c r="H96" s="188">
        <v>425</v>
      </c>
    </row>
    <row r="97" spans="1:8" x14ac:dyDescent="0.25">
      <c r="A97" s="155">
        <v>43719</v>
      </c>
      <c r="B97" s="113">
        <v>11.32</v>
      </c>
      <c r="C97" s="113">
        <v>7.93</v>
      </c>
      <c r="D97" s="113">
        <v>8</v>
      </c>
      <c r="E97" s="175">
        <v>22.2</v>
      </c>
      <c r="F97" s="113">
        <v>1</v>
      </c>
      <c r="G97" s="181" t="s">
        <v>113</v>
      </c>
      <c r="H97" s="186" t="s">
        <v>113</v>
      </c>
    </row>
    <row r="98" spans="1:8" x14ac:dyDescent="0.25">
      <c r="A98" s="155">
        <v>43721</v>
      </c>
      <c r="B98" s="113">
        <v>11.8</v>
      </c>
      <c r="C98" s="113">
        <v>7.47</v>
      </c>
      <c r="D98" s="113">
        <v>8.0299999999999994</v>
      </c>
      <c r="E98" s="175">
        <v>23.6</v>
      </c>
      <c r="F98" s="113">
        <v>1</v>
      </c>
      <c r="G98" s="181" t="s">
        <v>113</v>
      </c>
      <c r="H98" s="186" t="s">
        <v>113</v>
      </c>
    </row>
    <row r="99" spans="1:8" x14ac:dyDescent="0.25">
      <c r="A99" s="155">
        <v>43724</v>
      </c>
      <c r="B99" s="113">
        <v>11.95</v>
      </c>
      <c r="C99" s="113">
        <v>8.5500000000000007</v>
      </c>
      <c r="D99" s="113">
        <v>8.1300000000000008</v>
      </c>
      <c r="E99" s="175">
        <v>21.7</v>
      </c>
      <c r="F99" s="113">
        <v>1</v>
      </c>
      <c r="G99" s="82">
        <v>80</v>
      </c>
      <c r="H99" s="188">
        <v>425</v>
      </c>
    </row>
    <row r="100" spans="1:8" x14ac:dyDescent="0.25">
      <c r="A100" s="155">
        <v>43726</v>
      </c>
      <c r="B100" s="113">
        <v>11.53</v>
      </c>
      <c r="C100" s="113">
        <v>7.89</v>
      </c>
      <c r="D100" s="113">
        <v>7.98</v>
      </c>
      <c r="E100" s="175">
        <v>21.5</v>
      </c>
      <c r="F100" s="113">
        <v>1</v>
      </c>
      <c r="G100" s="181" t="s">
        <v>113</v>
      </c>
      <c r="H100" s="186" t="s">
        <v>113</v>
      </c>
    </row>
    <row r="101" spans="1:8" x14ac:dyDescent="0.25">
      <c r="A101" s="155">
        <v>43727</v>
      </c>
      <c r="B101" s="113">
        <v>11.12</v>
      </c>
      <c r="C101" s="113">
        <v>8.35</v>
      </c>
      <c r="D101" s="113">
        <v>7.79</v>
      </c>
      <c r="E101" s="175">
        <v>21.7</v>
      </c>
      <c r="F101" s="113">
        <v>0.25</v>
      </c>
      <c r="G101" s="181" t="s">
        <v>113</v>
      </c>
      <c r="H101" s="186" t="s">
        <v>113</v>
      </c>
    </row>
    <row r="102" spans="1:8" x14ac:dyDescent="0.25">
      <c r="A102" s="155">
        <v>43731</v>
      </c>
      <c r="B102" s="113">
        <v>11.61</v>
      </c>
      <c r="C102" s="113">
        <v>7.8</v>
      </c>
      <c r="D102" s="113">
        <v>7.96</v>
      </c>
      <c r="E102" s="175">
        <v>22.8</v>
      </c>
      <c r="F102" s="113">
        <v>0.25</v>
      </c>
      <c r="G102" s="82">
        <v>80</v>
      </c>
      <c r="H102" s="188">
        <v>425</v>
      </c>
    </row>
    <row r="103" spans="1:8" x14ac:dyDescent="0.25">
      <c r="A103" s="156" t="s">
        <v>111</v>
      </c>
      <c r="B103" s="58">
        <f t="shared" ref="B103:H103" si="12">AVERAGE(B91:B102)</f>
        <v>11.004166666666668</v>
      </c>
      <c r="C103" s="58">
        <f t="shared" si="12"/>
        <v>8.0941666666666663</v>
      </c>
      <c r="D103" s="58">
        <f t="shared" si="12"/>
        <v>7.9950000000000001</v>
      </c>
      <c r="E103" s="177">
        <f t="shared" si="12"/>
        <v>22.183333333333326</v>
      </c>
      <c r="F103" s="58">
        <f t="shared" si="12"/>
        <v>0.52083333333333337</v>
      </c>
      <c r="G103" s="182">
        <f t="shared" si="12"/>
        <v>88</v>
      </c>
      <c r="H103" s="187">
        <f t="shared" si="12"/>
        <v>400</v>
      </c>
    </row>
    <row r="104" spans="1:8" x14ac:dyDescent="0.25">
      <c r="A104" s="156" t="s">
        <v>112</v>
      </c>
      <c r="B104" s="58">
        <f t="shared" ref="B104:H104" si="13">_xlfn.STDEV.S(B91:B102)</f>
        <v>0.62872827391826602</v>
      </c>
      <c r="C104" s="58">
        <f t="shared" si="13"/>
        <v>0.43322172222322919</v>
      </c>
      <c r="D104" s="58">
        <f t="shared" si="13"/>
        <v>8.0396743489001929E-2</v>
      </c>
      <c r="E104" s="177">
        <f t="shared" si="13"/>
        <v>0.86216781042517132</v>
      </c>
      <c r="F104" s="58">
        <f t="shared" si="13"/>
        <v>0.36084391824351608</v>
      </c>
      <c r="G104" s="182">
        <f t="shared" si="13"/>
        <v>17.888543819998318</v>
      </c>
      <c r="H104" s="187">
        <f t="shared" si="13"/>
        <v>55.901699437494742</v>
      </c>
    </row>
    <row r="105" spans="1:8" x14ac:dyDescent="0.25">
      <c r="A105" s="156" t="s">
        <v>114</v>
      </c>
      <c r="B105" s="58">
        <f t="shared" ref="B105:H105" si="14">MIN(B91:B102)</f>
        <v>10.07</v>
      </c>
      <c r="C105" s="58">
        <f t="shared" si="14"/>
        <v>7.21</v>
      </c>
      <c r="D105" s="58">
        <f t="shared" si="14"/>
        <v>7.79</v>
      </c>
      <c r="E105" s="177">
        <f t="shared" si="14"/>
        <v>21.5</v>
      </c>
      <c r="F105" s="58">
        <f t="shared" si="14"/>
        <v>0.25</v>
      </c>
      <c r="G105" s="182">
        <f t="shared" si="14"/>
        <v>80</v>
      </c>
      <c r="H105" s="187">
        <f t="shared" si="14"/>
        <v>300</v>
      </c>
    </row>
    <row r="106" spans="1:8" ht="15.75" thickBot="1" x14ac:dyDescent="0.3">
      <c r="A106" s="157" t="s">
        <v>115</v>
      </c>
      <c r="B106" s="112">
        <f t="shared" ref="B106:H106" si="15">MAX(B91:B102)</f>
        <v>11.95</v>
      </c>
      <c r="C106" s="112">
        <f t="shared" si="15"/>
        <v>8.5500000000000007</v>
      </c>
      <c r="D106" s="112">
        <f t="shared" si="15"/>
        <v>8.1300000000000008</v>
      </c>
      <c r="E106" s="178">
        <f t="shared" si="15"/>
        <v>24.1</v>
      </c>
      <c r="F106" s="112">
        <f t="shared" si="15"/>
        <v>1</v>
      </c>
      <c r="G106" s="183">
        <f t="shared" si="15"/>
        <v>120</v>
      </c>
      <c r="H106" s="189">
        <f t="shared" si="15"/>
        <v>425</v>
      </c>
    </row>
    <row r="109" spans="1:8" x14ac:dyDescent="0.25">
      <c r="A109" s="37" t="s">
        <v>127</v>
      </c>
      <c r="B109" s="206"/>
      <c r="C109" s="206"/>
      <c r="D109" s="206"/>
      <c r="E109" s="207"/>
      <c r="F109" s="206"/>
      <c r="G109" s="206"/>
      <c r="H109" s="206"/>
    </row>
    <row r="110" spans="1:8" ht="30" x14ac:dyDescent="0.25">
      <c r="B110" s="121" t="s">
        <v>117</v>
      </c>
      <c r="C110" s="120" t="s">
        <v>106</v>
      </c>
      <c r="D110" s="120" t="s">
        <v>107</v>
      </c>
      <c r="E110" s="174" t="s">
        <v>119</v>
      </c>
      <c r="F110" s="120" t="s">
        <v>108</v>
      </c>
      <c r="G110" s="121" t="s">
        <v>109</v>
      </c>
      <c r="H110" s="121" t="s">
        <v>110</v>
      </c>
    </row>
    <row r="111" spans="1:8" x14ac:dyDescent="0.25">
      <c r="A111" s="156" t="s">
        <v>111</v>
      </c>
      <c r="B111">
        <f>AVERAGE(B$3:B$6,B$13:B$66,B$73:B$84,B$91:B$102)</f>
        <v>10.771358024691359</v>
      </c>
      <c r="C111">
        <f t="shared" ref="C111:H111" si="16">AVERAGE(C$3:C$6,C$13:C$66,C$73:C$84,C$91:C$102)</f>
        <v>8.2062195121951209</v>
      </c>
      <c r="D111">
        <f t="shared" si="16"/>
        <v>7.7330864197530866</v>
      </c>
      <c r="E111">
        <f t="shared" si="16"/>
        <v>24.376829268292681</v>
      </c>
      <c r="F111">
        <f t="shared" si="16"/>
        <v>0.37195121951219512</v>
      </c>
      <c r="G111">
        <f t="shared" si="16"/>
        <v>120</v>
      </c>
      <c r="H111">
        <f t="shared" si="16"/>
        <v>322.72727272727275</v>
      </c>
    </row>
    <row r="112" spans="1:8" x14ac:dyDescent="0.25">
      <c r="A112" s="156" t="s">
        <v>112</v>
      </c>
      <c r="B112">
        <f>STDEV(B$3:B$6,B$13:B$66,B$73:B$84,B$91:B$102)</f>
        <v>0.56616418353340703</v>
      </c>
      <c r="C112">
        <f>STDEV(C$3:C$6,C$13:C$66,C$73:C$84,C$91:C$102)</f>
        <v>0.98832773122380102</v>
      </c>
      <c r="D112">
        <f>STDEV(D$3:D$6,D$13:D$66,D$73:D$84,D$91:D$102)</f>
        <v>0.40034872915780767</v>
      </c>
      <c r="E112">
        <f t="shared" ref="E112:H112" si="17">STDEV(E$3:E$6,E$13:E$66,E$73:E$84,E$91:E$102)</f>
        <v>1.7168229904003964</v>
      </c>
      <c r="F112">
        <f t="shared" si="17"/>
        <v>0.32924319888319653</v>
      </c>
      <c r="G112">
        <f t="shared" si="17"/>
        <v>33.541019662496844</v>
      </c>
      <c r="H112">
        <f t="shared" si="17"/>
        <v>48.959340737540003</v>
      </c>
    </row>
    <row r="113" spans="1:8" x14ac:dyDescent="0.25">
      <c r="A113" s="156" t="s">
        <v>114</v>
      </c>
      <c r="B113">
        <f t="shared" ref="B113:H113" si="18">MIN(B$3:B$6,B$13:B$66,B$73:B$84,B$91:B$102)</f>
        <v>8.8699999999999992</v>
      </c>
      <c r="C113">
        <f t="shared" si="18"/>
        <v>5.16</v>
      </c>
      <c r="D113">
        <f t="shared" si="18"/>
        <v>6.65</v>
      </c>
      <c r="E113">
        <f t="shared" si="18"/>
        <v>21</v>
      </c>
      <c r="F113">
        <f t="shared" si="18"/>
        <v>0</v>
      </c>
      <c r="G113">
        <f t="shared" si="18"/>
        <v>80</v>
      </c>
      <c r="H113">
        <f t="shared" si="18"/>
        <v>300</v>
      </c>
    </row>
    <row r="114" spans="1:8" ht="15.75" thickBot="1" x14ac:dyDescent="0.3">
      <c r="A114" s="157" t="s">
        <v>115</v>
      </c>
      <c r="B114">
        <f t="shared" ref="B114:H114" si="19">MAX(B$3:B$6,B$13:B$66,B$73:B$84,B$91:B$102)</f>
        <v>12.11</v>
      </c>
      <c r="C114">
        <f t="shared" si="19"/>
        <v>11.8</v>
      </c>
      <c r="D114">
        <f t="shared" si="19"/>
        <v>8.4</v>
      </c>
      <c r="E114">
        <f t="shared" si="19"/>
        <v>26.7</v>
      </c>
      <c r="F114">
        <f t="shared" si="19"/>
        <v>2</v>
      </c>
      <c r="G114">
        <f t="shared" si="19"/>
        <v>180</v>
      </c>
      <c r="H114">
        <f t="shared" si="19"/>
        <v>425</v>
      </c>
    </row>
  </sheetData>
  <mergeCells count="4">
    <mergeCell ref="A11:I11"/>
    <mergeCell ref="A71:H71"/>
    <mergeCell ref="A89:H89"/>
    <mergeCell ref="A1:H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I113"/>
  <sheetViews>
    <sheetView topLeftCell="A82" workbookViewId="0">
      <selection activeCell="H101" activeCellId="3" sqref="H92 H95 H98 H101"/>
    </sheetView>
  </sheetViews>
  <sheetFormatPr defaultRowHeight="15" x14ac:dyDescent="0.25"/>
  <cols>
    <col min="2" max="2" width="8.5703125" customWidth="1"/>
    <col min="3" max="3" width="8.42578125" style="29" customWidth="1"/>
    <col min="4" max="4" width="8.5703125" style="29" customWidth="1"/>
    <col min="5" max="5" width="8" style="179" customWidth="1"/>
    <col min="6" max="6" width="11.140625" customWidth="1"/>
    <col min="7" max="7" width="11.7109375" customWidth="1"/>
    <col min="8" max="8" width="11.85546875" customWidth="1"/>
  </cols>
  <sheetData>
    <row r="1" spans="1:9" x14ac:dyDescent="0.25">
      <c r="A1" s="238" t="s">
        <v>105</v>
      </c>
      <c r="B1" s="239"/>
      <c r="C1" s="239"/>
      <c r="D1" s="239"/>
      <c r="E1" s="239"/>
      <c r="F1" s="240"/>
      <c r="G1" s="99"/>
      <c r="H1" s="99"/>
    </row>
    <row r="2" spans="1:9" ht="33.75" customHeight="1" x14ac:dyDescent="0.25">
      <c r="A2" s="12" t="s">
        <v>63</v>
      </c>
      <c r="B2" s="121" t="s">
        <v>118</v>
      </c>
      <c r="C2" s="120" t="s">
        <v>106</v>
      </c>
      <c r="D2" s="120" t="s">
        <v>107</v>
      </c>
      <c r="E2" s="174" t="s">
        <v>119</v>
      </c>
      <c r="F2" s="127" t="s">
        <v>108</v>
      </c>
      <c r="G2" s="27"/>
      <c r="H2" s="27"/>
    </row>
    <row r="3" spans="1:9" x14ac:dyDescent="0.25">
      <c r="A3" s="155">
        <v>43718</v>
      </c>
      <c r="B3" s="5">
        <v>443</v>
      </c>
      <c r="C3" s="113">
        <v>8.34</v>
      </c>
      <c r="D3" s="113">
        <v>7.75</v>
      </c>
      <c r="E3" s="201">
        <v>21.4</v>
      </c>
      <c r="F3" s="15">
        <v>0</v>
      </c>
      <c r="G3" s="28"/>
      <c r="H3" s="28"/>
    </row>
    <row r="4" spans="1:9" x14ac:dyDescent="0.25">
      <c r="A4" s="155">
        <v>43719</v>
      </c>
      <c r="B4" s="5">
        <v>407</v>
      </c>
      <c r="C4" s="113">
        <v>8.5399999999999991</v>
      </c>
      <c r="D4" s="113">
        <v>7.72</v>
      </c>
      <c r="E4" s="201">
        <v>21.2</v>
      </c>
      <c r="F4" s="15">
        <v>0</v>
      </c>
      <c r="G4" s="28"/>
      <c r="H4" s="28"/>
    </row>
    <row r="5" spans="1:9" x14ac:dyDescent="0.25">
      <c r="A5" s="155">
        <v>43721</v>
      </c>
      <c r="B5" s="81">
        <v>388</v>
      </c>
      <c r="C5" s="113">
        <v>8.2799999999999994</v>
      </c>
      <c r="D5" s="172">
        <v>7.97</v>
      </c>
      <c r="E5" s="176">
        <v>22.3</v>
      </c>
      <c r="F5" s="15">
        <v>0</v>
      </c>
      <c r="G5" s="28"/>
      <c r="H5" s="28"/>
    </row>
    <row r="6" spans="1:9" x14ac:dyDescent="0.25">
      <c r="A6" s="155">
        <v>43724</v>
      </c>
      <c r="B6" s="5">
        <v>412</v>
      </c>
      <c r="C6" s="173">
        <v>8.44</v>
      </c>
      <c r="D6" s="113">
        <v>8.07</v>
      </c>
      <c r="E6" s="201">
        <v>21.2</v>
      </c>
      <c r="F6" s="15">
        <v>0</v>
      </c>
      <c r="G6" s="28"/>
      <c r="H6" s="28"/>
    </row>
    <row r="7" spans="1:9" x14ac:dyDescent="0.25">
      <c r="A7" s="204" t="s">
        <v>111</v>
      </c>
      <c r="B7" s="58">
        <f>AVERAGE(B3:B6)</f>
        <v>412.5</v>
      </c>
      <c r="C7" s="58">
        <f>AVERAGE(C3:C6)</f>
        <v>8.3999999999999986</v>
      </c>
      <c r="D7" s="58">
        <f>AVERAGE(D3:D6)</f>
        <v>7.8774999999999995</v>
      </c>
      <c r="E7" s="177">
        <f>AVERAGE(E3:E6)</f>
        <v>21.524999999999999</v>
      </c>
      <c r="F7" s="41">
        <f>AVERAGE(F3:F6)</f>
        <v>0</v>
      </c>
      <c r="G7" s="98"/>
      <c r="H7" s="98"/>
    </row>
    <row r="8" spans="1:9" x14ac:dyDescent="0.25">
      <c r="A8" s="204" t="s">
        <v>112</v>
      </c>
      <c r="B8" s="58">
        <f>_xlfn.STDEV.S(B3:B6)</f>
        <v>22.810816147900834</v>
      </c>
      <c r="C8" s="58">
        <f>_xlfn.STDEV.S(C3:C6)</f>
        <v>0.11430952132988148</v>
      </c>
      <c r="D8" s="58">
        <f>_xlfn.STDEV.S(D3:D6)</f>
        <v>0.16997548842896942</v>
      </c>
      <c r="E8" s="177">
        <f>_xlfn.STDEV.S(E3:E6)</f>
        <v>0.52519837521962509</v>
      </c>
      <c r="F8" s="41">
        <f>_xlfn.STDEV.S(F3:F6)</f>
        <v>0</v>
      </c>
      <c r="G8" s="98"/>
      <c r="H8" s="98"/>
    </row>
    <row r="9" spans="1:9" x14ac:dyDescent="0.25">
      <c r="A9" s="156" t="s">
        <v>114</v>
      </c>
      <c r="B9" s="19">
        <f>MIN(B3:B6)</f>
        <v>388</v>
      </c>
      <c r="C9" s="58">
        <f>MIN(C3:C6)</f>
        <v>8.2799999999999994</v>
      </c>
      <c r="D9" s="58">
        <f>MIN(D3:D6)</f>
        <v>7.72</v>
      </c>
      <c r="E9" s="177">
        <f>MIN(E3:E6)</f>
        <v>21.2</v>
      </c>
      <c r="F9" s="41">
        <f>MIN(F3:F6)</f>
        <v>0</v>
      </c>
      <c r="G9" s="98"/>
      <c r="H9" s="98"/>
    </row>
    <row r="10" spans="1:9" ht="15.75" thickBot="1" x14ac:dyDescent="0.3">
      <c r="A10" s="156" t="s">
        <v>115</v>
      </c>
      <c r="B10" s="19">
        <f>MAX(B3:B6)</f>
        <v>443</v>
      </c>
      <c r="C10" s="58">
        <f>MAX(C3:C6)</f>
        <v>8.5399999999999991</v>
      </c>
      <c r="D10" s="58">
        <f>MAX(D3:D6)</f>
        <v>8.07</v>
      </c>
      <c r="E10" s="177">
        <f>MAX(E3:E6)</f>
        <v>22.3</v>
      </c>
      <c r="F10" s="41">
        <f>MAX(F3:F6)</f>
        <v>0</v>
      </c>
      <c r="G10" s="98"/>
      <c r="H10" s="98"/>
    </row>
    <row r="11" spans="1:9" x14ac:dyDescent="0.25">
      <c r="A11" s="238" t="s">
        <v>116</v>
      </c>
      <c r="B11" s="239"/>
      <c r="C11" s="239"/>
      <c r="D11" s="239"/>
      <c r="E11" s="239"/>
      <c r="F11" s="239"/>
      <c r="G11" s="239"/>
      <c r="H11" s="239"/>
      <c r="I11" s="240"/>
    </row>
    <row r="12" spans="1:9" ht="30" x14ac:dyDescent="0.25">
      <c r="A12" s="12" t="s">
        <v>63</v>
      </c>
      <c r="B12" s="121" t="s">
        <v>118</v>
      </c>
      <c r="C12" s="120" t="s">
        <v>106</v>
      </c>
      <c r="D12" s="120" t="s">
        <v>107</v>
      </c>
      <c r="E12" s="174" t="s">
        <v>119</v>
      </c>
      <c r="F12" s="121" t="s">
        <v>108</v>
      </c>
      <c r="G12" s="121" t="s">
        <v>109</v>
      </c>
      <c r="H12" s="121" t="s">
        <v>110</v>
      </c>
      <c r="I12" s="127" t="s">
        <v>0</v>
      </c>
    </row>
    <row r="13" spans="1:9" x14ac:dyDescent="0.25">
      <c r="A13" s="155">
        <v>43726</v>
      </c>
      <c r="B13" s="5">
        <v>686</v>
      </c>
      <c r="C13" s="113">
        <v>6.58</v>
      </c>
      <c r="D13" s="113">
        <v>7.36</v>
      </c>
      <c r="E13" s="175">
        <v>22.5</v>
      </c>
      <c r="F13" s="10">
        <v>0.25</v>
      </c>
      <c r="G13" s="10">
        <v>80</v>
      </c>
      <c r="H13" s="10">
        <v>250</v>
      </c>
      <c r="I13" s="15">
        <v>6</v>
      </c>
    </row>
    <row r="14" spans="1:9" x14ac:dyDescent="0.25">
      <c r="A14" s="155">
        <v>43726</v>
      </c>
      <c r="B14" s="5">
        <v>654</v>
      </c>
      <c r="C14" s="113">
        <v>5.86</v>
      </c>
      <c r="D14" s="113">
        <v>7.62</v>
      </c>
      <c r="E14" s="175">
        <v>22.3</v>
      </c>
      <c r="F14" s="10">
        <v>0</v>
      </c>
      <c r="G14" s="10">
        <v>80</v>
      </c>
      <c r="H14" s="10">
        <v>250</v>
      </c>
      <c r="I14" s="15">
        <v>20</v>
      </c>
    </row>
    <row r="15" spans="1:9" x14ac:dyDescent="0.25">
      <c r="A15" s="155">
        <v>43726</v>
      </c>
      <c r="B15" s="5">
        <v>824</v>
      </c>
      <c r="C15" s="113">
        <v>6.36</v>
      </c>
      <c r="D15" s="113">
        <v>7.67</v>
      </c>
      <c r="E15" s="175">
        <v>22.4</v>
      </c>
      <c r="F15" s="10">
        <v>0.25</v>
      </c>
      <c r="G15" s="10">
        <v>80</v>
      </c>
      <c r="H15" s="10">
        <v>250</v>
      </c>
      <c r="I15" s="15">
        <v>11</v>
      </c>
    </row>
    <row r="16" spans="1:9" x14ac:dyDescent="0.25">
      <c r="A16" s="155">
        <v>43727</v>
      </c>
      <c r="B16" s="10">
        <v>521</v>
      </c>
      <c r="C16" s="173">
        <v>7.29</v>
      </c>
      <c r="D16" s="173">
        <v>7.41</v>
      </c>
      <c r="E16" s="201">
        <v>22.1</v>
      </c>
      <c r="F16" s="10">
        <v>0.25</v>
      </c>
      <c r="G16" s="81" t="s">
        <v>113</v>
      </c>
      <c r="H16" s="81" t="s">
        <v>113</v>
      </c>
      <c r="I16" s="15">
        <v>32</v>
      </c>
    </row>
    <row r="17" spans="1:9" x14ac:dyDescent="0.25">
      <c r="A17" s="155">
        <v>43727</v>
      </c>
      <c r="B17" s="10">
        <v>517</v>
      </c>
      <c r="C17" s="173">
        <v>7.33</v>
      </c>
      <c r="D17" s="173">
        <v>7.57</v>
      </c>
      <c r="E17" s="201">
        <v>21.9</v>
      </c>
      <c r="F17" s="10">
        <v>0.25</v>
      </c>
      <c r="G17" s="81" t="s">
        <v>113</v>
      </c>
      <c r="H17" s="81" t="s">
        <v>113</v>
      </c>
      <c r="I17" s="15">
        <v>18</v>
      </c>
    </row>
    <row r="18" spans="1:9" x14ac:dyDescent="0.25">
      <c r="A18" s="155">
        <v>43727</v>
      </c>
      <c r="B18" s="10">
        <v>522</v>
      </c>
      <c r="C18" s="173">
        <v>7.19</v>
      </c>
      <c r="D18" s="173">
        <v>7.61</v>
      </c>
      <c r="E18" s="201">
        <v>22</v>
      </c>
      <c r="F18" s="10">
        <v>0.25</v>
      </c>
      <c r="G18" s="81" t="s">
        <v>113</v>
      </c>
      <c r="H18" s="81" t="s">
        <v>113</v>
      </c>
      <c r="I18" s="15">
        <v>30</v>
      </c>
    </row>
    <row r="19" spans="1:9" x14ac:dyDescent="0.25">
      <c r="A19" s="155">
        <v>43731</v>
      </c>
      <c r="B19" s="10">
        <v>550</v>
      </c>
      <c r="C19" s="173">
        <v>6.97</v>
      </c>
      <c r="D19" s="173">
        <v>7.93</v>
      </c>
      <c r="E19" s="201">
        <v>21.9</v>
      </c>
      <c r="F19" s="10">
        <v>0</v>
      </c>
      <c r="G19" s="10">
        <v>80</v>
      </c>
      <c r="H19" s="10">
        <v>250</v>
      </c>
      <c r="I19" s="15">
        <v>2</v>
      </c>
    </row>
    <row r="20" spans="1:9" x14ac:dyDescent="0.25">
      <c r="A20" s="155">
        <v>43731</v>
      </c>
      <c r="B20" s="10">
        <v>530</v>
      </c>
      <c r="C20" s="173">
        <v>7.08</v>
      </c>
      <c r="D20" s="173">
        <v>8.02</v>
      </c>
      <c r="E20" s="201">
        <v>21.8</v>
      </c>
      <c r="F20" s="10">
        <v>0</v>
      </c>
      <c r="G20" s="10">
        <v>80</v>
      </c>
      <c r="H20" s="10">
        <v>250</v>
      </c>
      <c r="I20" s="15">
        <v>31</v>
      </c>
    </row>
    <row r="21" spans="1:9" x14ac:dyDescent="0.25">
      <c r="A21" s="155">
        <v>43731</v>
      </c>
      <c r="B21" s="10">
        <v>533</v>
      </c>
      <c r="C21" s="173">
        <v>7.14</v>
      </c>
      <c r="D21" s="173">
        <v>7.89</v>
      </c>
      <c r="E21" s="201">
        <v>21.8</v>
      </c>
      <c r="F21" s="10">
        <v>0</v>
      </c>
      <c r="G21" s="10">
        <v>80</v>
      </c>
      <c r="H21" s="10">
        <v>250</v>
      </c>
      <c r="I21" s="15">
        <v>4</v>
      </c>
    </row>
    <row r="22" spans="1:9" x14ac:dyDescent="0.25">
      <c r="A22" s="155">
        <v>43733</v>
      </c>
      <c r="B22" s="10">
        <v>459</v>
      </c>
      <c r="C22" s="173">
        <v>7.18</v>
      </c>
      <c r="D22" s="173">
        <v>8.1</v>
      </c>
      <c r="E22" s="201">
        <v>22.2</v>
      </c>
      <c r="F22" s="10">
        <v>0</v>
      </c>
      <c r="G22" s="81" t="s">
        <v>113</v>
      </c>
      <c r="H22" s="81" t="s">
        <v>113</v>
      </c>
      <c r="I22" s="15">
        <v>29</v>
      </c>
    </row>
    <row r="23" spans="1:9" x14ac:dyDescent="0.25">
      <c r="A23" s="155">
        <v>43733</v>
      </c>
      <c r="B23" s="10">
        <v>444</v>
      </c>
      <c r="C23" s="173">
        <v>7.61</v>
      </c>
      <c r="D23" s="173">
        <v>8</v>
      </c>
      <c r="E23" s="201">
        <v>22.1</v>
      </c>
      <c r="F23" s="10">
        <v>0</v>
      </c>
      <c r="G23" s="81" t="s">
        <v>113</v>
      </c>
      <c r="H23" s="81" t="s">
        <v>113</v>
      </c>
      <c r="I23" s="15">
        <v>7</v>
      </c>
    </row>
    <row r="24" spans="1:9" x14ac:dyDescent="0.25">
      <c r="A24" s="155">
        <v>43733</v>
      </c>
      <c r="B24" s="10">
        <v>458</v>
      </c>
      <c r="C24" s="173">
        <v>7.66</v>
      </c>
      <c r="D24" s="173">
        <v>7.99</v>
      </c>
      <c r="E24" s="201">
        <v>22.1</v>
      </c>
      <c r="F24" s="10">
        <v>0</v>
      </c>
      <c r="G24" s="81" t="s">
        <v>113</v>
      </c>
      <c r="H24" s="81" t="s">
        <v>113</v>
      </c>
      <c r="I24" s="15">
        <v>28</v>
      </c>
    </row>
    <row r="25" spans="1:9" x14ac:dyDescent="0.25">
      <c r="A25" s="155">
        <v>43735</v>
      </c>
      <c r="B25" s="10">
        <v>555</v>
      </c>
      <c r="C25" s="172">
        <v>6.62</v>
      </c>
      <c r="D25" s="173">
        <v>7.35</v>
      </c>
      <c r="E25" s="201">
        <v>21.8</v>
      </c>
      <c r="F25" s="10">
        <v>0</v>
      </c>
      <c r="G25" s="81" t="s">
        <v>113</v>
      </c>
      <c r="H25" s="81" t="s">
        <v>113</v>
      </c>
      <c r="I25" s="15">
        <v>10</v>
      </c>
    </row>
    <row r="26" spans="1:9" x14ac:dyDescent="0.25">
      <c r="A26" s="155">
        <v>43735</v>
      </c>
      <c r="B26" s="10">
        <v>537</v>
      </c>
      <c r="C26" s="172">
        <v>6.76</v>
      </c>
      <c r="D26" s="173">
        <v>7.62</v>
      </c>
      <c r="E26" s="201">
        <v>21.7</v>
      </c>
      <c r="F26" s="10">
        <v>0</v>
      </c>
      <c r="G26" s="81" t="s">
        <v>113</v>
      </c>
      <c r="H26" s="81" t="s">
        <v>113</v>
      </c>
      <c r="I26" s="15">
        <v>27</v>
      </c>
    </row>
    <row r="27" spans="1:9" x14ac:dyDescent="0.25">
      <c r="A27" s="155">
        <v>43735</v>
      </c>
      <c r="B27" s="10">
        <v>546</v>
      </c>
      <c r="C27" s="172">
        <v>6.87</v>
      </c>
      <c r="D27" s="173">
        <v>7.7</v>
      </c>
      <c r="E27" s="201">
        <v>21.8</v>
      </c>
      <c r="F27" s="10">
        <v>0</v>
      </c>
      <c r="G27" s="81" t="s">
        <v>113</v>
      </c>
      <c r="H27" s="81" t="s">
        <v>113</v>
      </c>
      <c r="I27" s="15">
        <v>17</v>
      </c>
    </row>
    <row r="28" spans="1:9" x14ac:dyDescent="0.25">
      <c r="A28" s="155">
        <v>43738</v>
      </c>
      <c r="B28" s="10">
        <v>460</v>
      </c>
      <c r="C28" s="214">
        <v>7.54</v>
      </c>
      <c r="D28" s="173">
        <v>7.66</v>
      </c>
      <c r="E28" s="201">
        <v>22.4</v>
      </c>
      <c r="F28" s="10">
        <v>0</v>
      </c>
      <c r="G28" s="10">
        <v>80</v>
      </c>
      <c r="H28" s="10">
        <v>250</v>
      </c>
      <c r="I28" s="15">
        <v>22</v>
      </c>
    </row>
    <row r="29" spans="1:9" x14ac:dyDescent="0.25">
      <c r="A29" s="155">
        <v>43738</v>
      </c>
      <c r="B29" s="10">
        <v>454</v>
      </c>
      <c r="C29" s="214">
        <v>7.4</v>
      </c>
      <c r="D29" s="173">
        <v>7.67</v>
      </c>
      <c r="E29" s="201">
        <v>22.3</v>
      </c>
      <c r="F29" s="10">
        <v>0</v>
      </c>
      <c r="G29" s="10">
        <v>80</v>
      </c>
      <c r="H29" s="10">
        <v>250</v>
      </c>
      <c r="I29" s="15">
        <v>19</v>
      </c>
    </row>
    <row r="30" spans="1:9" x14ac:dyDescent="0.25">
      <c r="A30" s="155">
        <v>43738</v>
      </c>
      <c r="B30" s="10">
        <v>459</v>
      </c>
      <c r="C30" s="214">
        <v>7.47</v>
      </c>
      <c r="D30" s="173">
        <v>7.72</v>
      </c>
      <c r="E30" s="201">
        <v>22.3</v>
      </c>
      <c r="F30" s="10">
        <v>0</v>
      </c>
      <c r="G30" s="10">
        <v>80</v>
      </c>
      <c r="H30" s="10">
        <v>250</v>
      </c>
      <c r="I30" s="15">
        <v>21</v>
      </c>
    </row>
    <row r="31" spans="1:9" x14ac:dyDescent="0.25">
      <c r="A31" s="155">
        <v>43740</v>
      </c>
      <c r="B31" s="10">
        <v>425</v>
      </c>
      <c r="C31" s="214">
        <v>8.43</v>
      </c>
      <c r="D31" s="173">
        <v>7.79</v>
      </c>
      <c r="E31" s="201">
        <v>22</v>
      </c>
      <c r="F31" s="10">
        <v>0</v>
      </c>
      <c r="G31" s="81" t="s">
        <v>113</v>
      </c>
      <c r="H31" s="81" t="s">
        <v>113</v>
      </c>
      <c r="I31" s="15">
        <v>14</v>
      </c>
    </row>
    <row r="32" spans="1:9" x14ac:dyDescent="0.25">
      <c r="A32" s="155">
        <v>43740</v>
      </c>
      <c r="B32" s="10">
        <v>431</v>
      </c>
      <c r="C32" s="214">
        <v>8.1199999999999992</v>
      </c>
      <c r="D32" s="173">
        <v>7.79</v>
      </c>
      <c r="E32" s="201">
        <v>21.8</v>
      </c>
      <c r="F32" s="10">
        <v>0</v>
      </c>
      <c r="G32" s="81" t="s">
        <v>113</v>
      </c>
      <c r="H32" s="81" t="s">
        <v>113</v>
      </c>
      <c r="I32" s="15">
        <v>6</v>
      </c>
    </row>
    <row r="33" spans="1:9" x14ac:dyDescent="0.25">
      <c r="A33" s="155">
        <v>43740</v>
      </c>
      <c r="B33" s="10">
        <v>437</v>
      </c>
      <c r="C33" s="113">
        <v>7.92</v>
      </c>
      <c r="D33" s="173">
        <v>7.72</v>
      </c>
      <c r="E33" s="201">
        <v>21.9</v>
      </c>
      <c r="F33" s="10">
        <v>0</v>
      </c>
      <c r="G33" s="81" t="s">
        <v>113</v>
      </c>
      <c r="H33" s="81" t="s">
        <v>113</v>
      </c>
      <c r="I33" s="15">
        <v>20</v>
      </c>
    </row>
    <row r="34" spans="1:9" x14ac:dyDescent="0.25">
      <c r="A34" s="155">
        <v>43742</v>
      </c>
      <c r="B34" s="10">
        <v>413</v>
      </c>
      <c r="C34" s="113">
        <v>8.0500000000000007</v>
      </c>
      <c r="D34" s="173">
        <v>7.46</v>
      </c>
      <c r="E34" s="201">
        <v>21.1</v>
      </c>
      <c r="F34" s="10">
        <v>0</v>
      </c>
      <c r="G34" s="81" t="s">
        <v>113</v>
      </c>
      <c r="H34" s="81" t="s">
        <v>113</v>
      </c>
      <c r="I34" s="15">
        <v>11</v>
      </c>
    </row>
    <row r="35" spans="1:9" x14ac:dyDescent="0.25">
      <c r="A35" s="155">
        <v>43742</v>
      </c>
      <c r="B35" s="10">
        <v>415</v>
      </c>
      <c r="C35" s="113">
        <v>8.17</v>
      </c>
      <c r="D35" s="173">
        <v>7.51</v>
      </c>
      <c r="E35" s="201">
        <v>21.2</v>
      </c>
      <c r="F35" s="10">
        <v>0</v>
      </c>
      <c r="G35" s="81" t="s">
        <v>113</v>
      </c>
      <c r="H35" s="81" t="s">
        <v>113</v>
      </c>
      <c r="I35" s="15">
        <v>32</v>
      </c>
    </row>
    <row r="36" spans="1:9" x14ac:dyDescent="0.25">
      <c r="A36" s="155">
        <v>43742</v>
      </c>
      <c r="B36" s="10">
        <v>425</v>
      </c>
      <c r="C36" s="113">
        <v>8</v>
      </c>
      <c r="D36" s="173">
        <v>7.51</v>
      </c>
      <c r="E36" s="201">
        <v>21.3</v>
      </c>
      <c r="F36" s="10">
        <v>0</v>
      </c>
      <c r="G36" s="81" t="s">
        <v>113</v>
      </c>
      <c r="H36" s="81" t="s">
        <v>113</v>
      </c>
      <c r="I36" s="15">
        <v>18</v>
      </c>
    </row>
    <row r="37" spans="1:9" x14ac:dyDescent="0.25">
      <c r="A37" s="155">
        <v>43745</v>
      </c>
      <c r="B37" s="10">
        <v>476</v>
      </c>
      <c r="C37" s="113">
        <v>7.5</v>
      </c>
      <c r="D37" s="173">
        <v>7.53</v>
      </c>
      <c r="E37" s="175">
        <v>21.8</v>
      </c>
      <c r="F37" s="10">
        <v>0</v>
      </c>
      <c r="G37" s="5">
        <v>80</v>
      </c>
      <c r="H37" s="5">
        <v>120</v>
      </c>
      <c r="I37" s="15">
        <v>30</v>
      </c>
    </row>
    <row r="38" spans="1:9" x14ac:dyDescent="0.25">
      <c r="A38" s="155">
        <v>43745</v>
      </c>
      <c r="B38" s="10">
        <v>481</v>
      </c>
      <c r="C38" s="113">
        <v>6.97</v>
      </c>
      <c r="D38" s="173">
        <v>7.46</v>
      </c>
      <c r="E38" s="175">
        <v>21.8</v>
      </c>
      <c r="F38" s="10">
        <v>0</v>
      </c>
      <c r="G38" s="5">
        <v>80</v>
      </c>
      <c r="H38" s="5">
        <v>120</v>
      </c>
      <c r="I38" s="15">
        <v>2</v>
      </c>
    </row>
    <row r="39" spans="1:9" x14ac:dyDescent="0.25">
      <c r="A39" s="155">
        <v>43745</v>
      </c>
      <c r="B39" s="10">
        <v>480</v>
      </c>
      <c r="C39" s="113">
        <v>7.13</v>
      </c>
      <c r="D39" s="173">
        <v>7.43</v>
      </c>
      <c r="E39" s="175">
        <v>21.7</v>
      </c>
      <c r="F39" s="10">
        <v>0</v>
      </c>
      <c r="G39" s="5">
        <v>80</v>
      </c>
      <c r="H39" s="5">
        <v>120</v>
      </c>
      <c r="I39" s="15">
        <v>31</v>
      </c>
    </row>
    <row r="40" spans="1:9" x14ac:dyDescent="0.25">
      <c r="A40" s="155">
        <v>43747</v>
      </c>
      <c r="B40" s="10">
        <v>455</v>
      </c>
      <c r="C40" s="113">
        <v>6.77</v>
      </c>
      <c r="D40" s="173">
        <v>7.46</v>
      </c>
      <c r="E40" s="175">
        <v>21.8</v>
      </c>
      <c r="F40" s="5">
        <v>0</v>
      </c>
      <c r="G40" s="81" t="s">
        <v>113</v>
      </c>
      <c r="H40" s="81" t="s">
        <v>113</v>
      </c>
      <c r="I40" s="15">
        <v>4</v>
      </c>
    </row>
    <row r="41" spans="1:9" x14ac:dyDescent="0.25">
      <c r="A41" s="155">
        <v>43747</v>
      </c>
      <c r="B41" s="10">
        <v>467</v>
      </c>
      <c r="C41" s="113">
        <v>6.98</v>
      </c>
      <c r="D41" s="173">
        <v>7.43</v>
      </c>
      <c r="E41" s="175">
        <v>21.9</v>
      </c>
      <c r="F41" s="5">
        <v>0</v>
      </c>
      <c r="G41" s="81" t="s">
        <v>113</v>
      </c>
      <c r="H41" s="81" t="s">
        <v>113</v>
      </c>
      <c r="I41" s="15">
        <v>29</v>
      </c>
    </row>
    <row r="42" spans="1:9" x14ac:dyDescent="0.25">
      <c r="A42" s="155">
        <v>43747</v>
      </c>
      <c r="B42" s="10">
        <v>467</v>
      </c>
      <c r="C42" s="113">
        <v>6.44</v>
      </c>
      <c r="D42" s="173">
        <v>7.38</v>
      </c>
      <c r="E42" s="175">
        <v>21.7</v>
      </c>
      <c r="F42" s="5">
        <v>0</v>
      </c>
      <c r="G42" s="81" t="s">
        <v>113</v>
      </c>
      <c r="H42" s="81" t="s">
        <v>113</v>
      </c>
      <c r="I42" s="15">
        <v>7</v>
      </c>
    </row>
    <row r="43" spans="1:9" x14ac:dyDescent="0.25">
      <c r="A43" s="155">
        <v>43749</v>
      </c>
      <c r="B43" s="10">
        <v>449</v>
      </c>
      <c r="C43" s="113">
        <v>8.52</v>
      </c>
      <c r="D43" s="173">
        <v>7.54</v>
      </c>
      <c r="E43" s="175">
        <v>21.4</v>
      </c>
      <c r="F43" s="5">
        <v>0</v>
      </c>
      <c r="G43" s="81" t="s">
        <v>113</v>
      </c>
      <c r="H43" s="81" t="s">
        <v>113</v>
      </c>
      <c r="I43" s="15">
        <v>28</v>
      </c>
    </row>
    <row r="44" spans="1:9" x14ac:dyDescent="0.25">
      <c r="A44" s="155">
        <v>43749</v>
      </c>
      <c r="B44" s="10">
        <v>455</v>
      </c>
      <c r="C44" s="113">
        <v>8.4600000000000009</v>
      </c>
      <c r="D44" s="173">
        <v>7.61</v>
      </c>
      <c r="E44" s="175">
        <v>21.2</v>
      </c>
      <c r="F44" s="5">
        <v>0</v>
      </c>
      <c r="G44" s="81" t="s">
        <v>113</v>
      </c>
      <c r="H44" s="81" t="s">
        <v>113</v>
      </c>
      <c r="I44" s="15">
        <v>10</v>
      </c>
    </row>
    <row r="45" spans="1:9" x14ac:dyDescent="0.25">
      <c r="A45" s="155">
        <v>43749</v>
      </c>
      <c r="B45" s="10">
        <v>452</v>
      </c>
      <c r="C45" s="113">
        <v>8.27</v>
      </c>
      <c r="D45" s="173">
        <v>7.61</v>
      </c>
      <c r="E45" s="175">
        <v>21.2</v>
      </c>
      <c r="F45" s="5">
        <v>0</v>
      </c>
      <c r="G45" s="81" t="s">
        <v>113</v>
      </c>
      <c r="H45" s="81" t="s">
        <v>113</v>
      </c>
      <c r="I45" s="15">
        <v>27</v>
      </c>
    </row>
    <row r="46" spans="1:9" x14ac:dyDescent="0.25">
      <c r="A46" s="155">
        <v>43752</v>
      </c>
      <c r="B46" s="10">
        <v>479</v>
      </c>
      <c r="C46" s="113">
        <v>7.67</v>
      </c>
      <c r="D46" s="173">
        <v>7.28</v>
      </c>
      <c r="E46" s="175">
        <v>21.6</v>
      </c>
      <c r="F46" s="5">
        <v>0</v>
      </c>
      <c r="G46" s="5">
        <v>80</v>
      </c>
      <c r="H46" s="5">
        <v>120</v>
      </c>
      <c r="I46" s="15">
        <v>17</v>
      </c>
    </row>
    <row r="47" spans="1:9" x14ac:dyDescent="0.25">
      <c r="A47" s="155">
        <v>43752</v>
      </c>
      <c r="B47" s="10">
        <v>484</v>
      </c>
      <c r="C47" s="113">
        <v>7.57</v>
      </c>
      <c r="D47" s="173">
        <v>7.37</v>
      </c>
      <c r="E47" s="175">
        <v>21.8</v>
      </c>
      <c r="F47" s="5">
        <v>0</v>
      </c>
      <c r="G47" s="5">
        <v>80</v>
      </c>
      <c r="H47" s="5">
        <v>120</v>
      </c>
      <c r="I47" s="15">
        <v>22</v>
      </c>
    </row>
    <row r="48" spans="1:9" x14ac:dyDescent="0.25">
      <c r="A48" s="155">
        <v>43752</v>
      </c>
      <c r="B48" s="10">
        <v>486</v>
      </c>
      <c r="C48" s="113">
        <v>6.74</v>
      </c>
      <c r="D48" s="173">
        <v>7.39</v>
      </c>
      <c r="E48" s="175">
        <v>21.7</v>
      </c>
      <c r="F48" s="5">
        <v>0</v>
      </c>
      <c r="G48" s="5">
        <v>80</v>
      </c>
      <c r="H48" s="5">
        <v>120</v>
      </c>
      <c r="I48" s="15">
        <v>19</v>
      </c>
    </row>
    <row r="49" spans="1:9" x14ac:dyDescent="0.25">
      <c r="A49" s="155">
        <v>43754</v>
      </c>
      <c r="B49" s="10">
        <v>440</v>
      </c>
      <c r="C49" s="113">
        <v>8.86</v>
      </c>
      <c r="D49" s="173">
        <v>7.8</v>
      </c>
      <c r="E49" s="175">
        <v>20.6</v>
      </c>
      <c r="F49" s="5">
        <v>0</v>
      </c>
      <c r="G49" s="81" t="s">
        <v>113</v>
      </c>
      <c r="H49" s="81" t="s">
        <v>113</v>
      </c>
      <c r="I49" s="15">
        <v>21</v>
      </c>
    </row>
    <row r="50" spans="1:9" x14ac:dyDescent="0.25">
      <c r="A50" s="155">
        <v>43754</v>
      </c>
      <c r="B50" s="10">
        <v>420</v>
      </c>
      <c r="C50" s="113">
        <v>8.82</v>
      </c>
      <c r="D50" s="173">
        <v>7.8</v>
      </c>
      <c r="E50" s="175">
        <v>20.7</v>
      </c>
      <c r="F50" s="5">
        <v>0</v>
      </c>
      <c r="G50" s="81" t="s">
        <v>113</v>
      </c>
      <c r="H50" s="81" t="s">
        <v>113</v>
      </c>
      <c r="I50" s="15">
        <v>14</v>
      </c>
    </row>
    <row r="51" spans="1:9" x14ac:dyDescent="0.25">
      <c r="A51" s="155">
        <v>43754</v>
      </c>
      <c r="B51" s="10">
        <v>411</v>
      </c>
      <c r="C51" s="113">
        <v>8.7799999999999994</v>
      </c>
      <c r="D51" s="173">
        <v>7.8</v>
      </c>
      <c r="E51" s="175">
        <v>20.8</v>
      </c>
      <c r="F51" s="5">
        <v>0</v>
      </c>
      <c r="G51" s="81" t="s">
        <v>113</v>
      </c>
      <c r="H51" s="81" t="s">
        <v>113</v>
      </c>
      <c r="I51" s="15">
        <v>6</v>
      </c>
    </row>
    <row r="52" spans="1:9" x14ac:dyDescent="0.25">
      <c r="A52" s="155">
        <v>43756</v>
      </c>
      <c r="B52" s="10">
        <v>454</v>
      </c>
      <c r="C52" s="113">
        <v>8.6300000000000008</v>
      </c>
      <c r="D52" s="173">
        <v>7.68</v>
      </c>
      <c r="E52" s="175">
        <v>22.1</v>
      </c>
      <c r="F52" s="5">
        <v>0</v>
      </c>
      <c r="G52" s="81" t="s">
        <v>113</v>
      </c>
      <c r="H52" s="81" t="s">
        <v>113</v>
      </c>
      <c r="I52" s="15">
        <v>20</v>
      </c>
    </row>
    <row r="53" spans="1:9" x14ac:dyDescent="0.25">
      <c r="A53" s="155">
        <v>43756</v>
      </c>
      <c r="B53" s="10">
        <v>455</v>
      </c>
      <c r="C53" s="113">
        <v>8.4499999999999993</v>
      </c>
      <c r="D53" s="173">
        <v>7.75</v>
      </c>
      <c r="E53" s="175">
        <v>22.1</v>
      </c>
      <c r="F53" s="5">
        <v>0</v>
      </c>
      <c r="G53" s="81" t="s">
        <v>113</v>
      </c>
      <c r="H53" s="81" t="s">
        <v>113</v>
      </c>
      <c r="I53" s="15">
        <v>11</v>
      </c>
    </row>
    <row r="54" spans="1:9" x14ac:dyDescent="0.25">
      <c r="A54" s="155">
        <v>43756</v>
      </c>
      <c r="B54" s="10">
        <v>456</v>
      </c>
      <c r="C54" s="113">
        <v>8.33</v>
      </c>
      <c r="D54" s="173">
        <v>7.75</v>
      </c>
      <c r="E54" s="175">
        <v>22</v>
      </c>
      <c r="F54" s="5">
        <v>0</v>
      </c>
      <c r="G54" s="81" t="s">
        <v>113</v>
      </c>
      <c r="H54" s="81" t="s">
        <v>113</v>
      </c>
      <c r="I54" s="15">
        <v>32</v>
      </c>
    </row>
    <row r="55" spans="1:9" x14ac:dyDescent="0.25">
      <c r="A55" s="155">
        <v>43759</v>
      </c>
      <c r="B55" s="10">
        <v>458</v>
      </c>
      <c r="C55" s="113">
        <v>7.73</v>
      </c>
      <c r="D55" s="173">
        <v>7.64</v>
      </c>
      <c r="E55" s="175">
        <v>22.2</v>
      </c>
      <c r="F55" s="5">
        <v>0.25</v>
      </c>
      <c r="G55" s="5">
        <v>80</v>
      </c>
      <c r="H55" s="5">
        <v>250</v>
      </c>
      <c r="I55" s="15">
        <v>18</v>
      </c>
    </row>
    <row r="56" spans="1:9" x14ac:dyDescent="0.25">
      <c r="A56" s="155">
        <v>43759</v>
      </c>
      <c r="B56" s="10">
        <v>456</v>
      </c>
      <c r="C56" s="113">
        <v>7.81</v>
      </c>
      <c r="D56" s="173">
        <v>7.78</v>
      </c>
      <c r="E56" s="175">
        <v>22.2</v>
      </c>
      <c r="F56" s="5">
        <v>0.25</v>
      </c>
      <c r="G56" s="5">
        <v>80</v>
      </c>
      <c r="H56" s="5">
        <v>250</v>
      </c>
      <c r="I56" s="15">
        <v>30</v>
      </c>
    </row>
    <row r="57" spans="1:9" x14ac:dyDescent="0.25">
      <c r="A57" s="155">
        <v>43759</v>
      </c>
      <c r="B57" s="10">
        <v>455</v>
      </c>
      <c r="C57" s="113">
        <v>7.89</v>
      </c>
      <c r="D57" s="173">
        <v>7.83</v>
      </c>
      <c r="E57" s="175">
        <v>22.2</v>
      </c>
      <c r="F57" s="5">
        <v>0.25</v>
      </c>
      <c r="G57" s="5">
        <v>80</v>
      </c>
      <c r="H57" s="5">
        <v>250</v>
      </c>
      <c r="I57" s="15">
        <v>2</v>
      </c>
    </row>
    <row r="58" spans="1:9" x14ac:dyDescent="0.25">
      <c r="A58" s="155">
        <v>43761</v>
      </c>
      <c r="B58" s="10">
        <v>445</v>
      </c>
      <c r="C58" s="113">
        <v>8.2200000000000006</v>
      </c>
      <c r="D58" s="173">
        <v>7.5</v>
      </c>
      <c r="E58" s="175">
        <v>22.2</v>
      </c>
      <c r="F58" s="5">
        <v>0.25</v>
      </c>
      <c r="G58" s="81" t="s">
        <v>113</v>
      </c>
      <c r="H58" s="81" t="s">
        <v>113</v>
      </c>
      <c r="I58" s="15">
        <v>31</v>
      </c>
    </row>
    <row r="59" spans="1:9" x14ac:dyDescent="0.25">
      <c r="A59" s="155">
        <v>43761</v>
      </c>
      <c r="B59" s="10">
        <v>438</v>
      </c>
      <c r="C59" s="113">
        <v>8.31</v>
      </c>
      <c r="D59" s="173">
        <v>7.59</v>
      </c>
      <c r="E59" s="175">
        <v>21.6</v>
      </c>
      <c r="F59" s="5">
        <v>0.25</v>
      </c>
      <c r="G59" s="81" t="s">
        <v>113</v>
      </c>
      <c r="H59" s="81" t="s">
        <v>113</v>
      </c>
      <c r="I59" s="15">
        <v>4</v>
      </c>
    </row>
    <row r="60" spans="1:9" x14ac:dyDescent="0.25">
      <c r="A60" s="155">
        <v>43761</v>
      </c>
      <c r="B60" s="10">
        <v>435</v>
      </c>
      <c r="C60" s="113">
        <v>8.39</v>
      </c>
      <c r="D60" s="173">
        <v>7.5</v>
      </c>
      <c r="E60" s="175">
        <v>21.6</v>
      </c>
      <c r="F60" s="5">
        <v>0</v>
      </c>
      <c r="G60" s="81" t="s">
        <v>113</v>
      </c>
      <c r="H60" s="81" t="s">
        <v>113</v>
      </c>
      <c r="I60" s="15">
        <v>29</v>
      </c>
    </row>
    <row r="61" spans="1:9" x14ac:dyDescent="0.25">
      <c r="A61" s="155">
        <v>43763</v>
      </c>
      <c r="B61" s="10">
        <v>461</v>
      </c>
      <c r="C61" s="113">
        <v>8.76</v>
      </c>
      <c r="D61" s="113">
        <v>7.72</v>
      </c>
      <c r="E61" s="175">
        <v>21.5</v>
      </c>
      <c r="F61" s="10">
        <v>0</v>
      </c>
      <c r="G61" s="81" t="s">
        <v>113</v>
      </c>
      <c r="H61" s="81" t="s">
        <v>113</v>
      </c>
      <c r="I61" s="15">
        <v>7</v>
      </c>
    </row>
    <row r="62" spans="1:9" x14ac:dyDescent="0.25">
      <c r="A62" s="155">
        <v>43763</v>
      </c>
      <c r="B62" s="10">
        <v>457</v>
      </c>
      <c r="C62" s="113">
        <v>8.5500000000000007</v>
      </c>
      <c r="D62" s="113">
        <v>7.66</v>
      </c>
      <c r="E62" s="175">
        <v>21.5</v>
      </c>
      <c r="F62" s="10">
        <v>0.25</v>
      </c>
      <c r="G62" s="81" t="s">
        <v>113</v>
      </c>
      <c r="H62" s="81" t="s">
        <v>113</v>
      </c>
      <c r="I62" s="15">
        <v>28</v>
      </c>
    </row>
    <row r="63" spans="1:9" x14ac:dyDescent="0.25">
      <c r="A63" s="155">
        <v>43763</v>
      </c>
      <c r="B63" s="10">
        <v>453</v>
      </c>
      <c r="C63" s="113">
        <v>8.43</v>
      </c>
      <c r="D63" s="113">
        <v>7.66</v>
      </c>
      <c r="E63" s="175">
        <v>21.5</v>
      </c>
      <c r="F63" s="10">
        <v>0.25</v>
      </c>
      <c r="G63" s="81" t="s">
        <v>113</v>
      </c>
      <c r="H63" s="81" t="s">
        <v>113</v>
      </c>
      <c r="I63" s="15">
        <v>19</v>
      </c>
    </row>
    <row r="64" spans="1:9" x14ac:dyDescent="0.25">
      <c r="A64" s="155">
        <v>43766</v>
      </c>
      <c r="B64" s="10">
        <v>492</v>
      </c>
      <c r="C64" s="113">
        <v>7.9</v>
      </c>
      <c r="D64" s="113">
        <v>7.57</v>
      </c>
      <c r="E64" s="175">
        <v>21.6</v>
      </c>
      <c r="F64" s="10">
        <v>0.25</v>
      </c>
      <c r="G64" s="5">
        <v>80</v>
      </c>
      <c r="H64" s="5">
        <v>250</v>
      </c>
      <c r="I64" s="15">
        <v>27</v>
      </c>
    </row>
    <row r="65" spans="1:9" x14ac:dyDescent="0.25">
      <c r="A65" s="155">
        <v>43766</v>
      </c>
      <c r="B65" s="10">
        <v>486</v>
      </c>
      <c r="C65" s="113">
        <v>8.1199999999999992</v>
      </c>
      <c r="D65" s="113">
        <v>7.65</v>
      </c>
      <c r="E65" s="175">
        <v>21.6</v>
      </c>
      <c r="F65" s="10">
        <v>0.25</v>
      </c>
      <c r="G65" s="5">
        <v>80</v>
      </c>
      <c r="H65" s="5">
        <v>250</v>
      </c>
      <c r="I65" s="15">
        <v>17</v>
      </c>
    </row>
    <row r="66" spans="1:9" x14ac:dyDescent="0.25">
      <c r="A66" s="155">
        <v>43766</v>
      </c>
      <c r="B66" s="10">
        <v>492</v>
      </c>
      <c r="C66" s="113">
        <v>7.41</v>
      </c>
      <c r="D66" s="113">
        <v>7.62</v>
      </c>
      <c r="E66" s="175">
        <v>21.5</v>
      </c>
      <c r="F66" s="10">
        <v>0.25</v>
      </c>
      <c r="G66" s="5">
        <v>80</v>
      </c>
      <c r="H66" s="5">
        <v>250</v>
      </c>
      <c r="I66" s="15">
        <v>22</v>
      </c>
    </row>
    <row r="67" spans="1:9" x14ac:dyDescent="0.25">
      <c r="A67" s="156" t="s">
        <v>111</v>
      </c>
      <c r="B67" s="58">
        <f t="shared" ref="B67:H67" si="0">AVERAGE(B13:B66)</f>
        <v>482.40740740740739</v>
      </c>
      <c r="C67" s="58">
        <f t="shared" si="0"/>
        <v>7.6668518518518516</v>
      </c>
      <c r="D67" s="58">
        <f t="shared" si="0"/>
        <v>7.6381481481481481</v>
      </c>
      <c r="E67" s="177">
        <f t="shared" si="0"/>
        <v>21.774074074074072</v>
      </c>
      <c r="F67" s="58">
        <f t="shared" si="0"/>
        <v>6.9444444444444448E-2</v>
      </c>
      <c r="G67" s="58">
        <f t="shared" si="0"/>
        <v>80</v>
      </c>
      <c r="H67" s="58">
        <f t="shared" si="0"/>
        <v>212.85714285714286</v>
      </c>
      <c r="I67" s="44"/>
    </row>
    <row r="68" spans="1:9" x14ac:dyDescent="0.25">
      <c r="A68" s="156" t="s">
        <v>112</v>
      </c>
      <c r="B68" s="58">
        <f t="shared" ref="B68:H68" si="1">_xlfn.STDEV.S(B13:B66)</f>
        <v>70.793752660762067</v>
      </c>
      <c r="C68" s="58">
        <f t="shared" si="1"/>
        <v>0.73165313999234416</v>
      </c>
      <c r="D68" s="58">
        <f t="shared" si="1"/>
        <v>0.1857374295406152</v>
      </c>
      <c r="E68" s="177">
        <f t="shared" si="1"/>
        <v>0.42479081874791352</v>
      </c>
      <c r="F68" s="58">
        <f t="shared" si="1"/>
        <v>0.11302724110896629</v>
      </c>
      <c r="G68" s="58">
        <f t="shared" si="1"/>
        <v>0</v>
      </c>
      <c r="H68" s="58">
        <f t="shared" si="1"/>
        <v>60.178306485215863</v>
      </c>
      <c r="I68" s="44"/>
    </row>
    <row r="69" spans="1:9" x14ac:dyDescent="0.25">
      <c r="A69" s="156" t="s">
        <v>114</v>
      </c>
      <c r="B69" s="58">
        <f t="shared" ref="B69:H69" si="2">MIN(B13:B66)</f>
        <v>411</v>
      </c>
      <c r="C69" s="58">
        <f t="shared" si="2"/>
        <v>5.86</v>
      </c>
      <c r="D69" s="58">
        <f t="shared" si="2"/>
        <v>7.28</v>
      </c>
      <c r="E69" s="177">
        <f t="shared" si="2"/>
        <v>20.6</v>
      </c>
      <c r="F69" s="58">
        <f t="shared" si="2"/>
        <v>0</v>
      </c>
      <c r="G69" s="58">
        <f t="shared" si="2"/>
        <v>80</v>
      </c>
      <c r="H69" s="58">
        <f t="shared" si="2"/>
        <v>120</v>
      </c>
      <c r="I69" s="44"/>
    </row>
    <row r="70" spans="1:9" ht="15.75" thickBot="1" x14ac:dyDescent="0.3">
      <c r="A70" s="157" t="s">
        <v>115</v>
      </c>
      <c r="B70" s="112">
        <f t="shared" ref="B70:H70" si="3">MAX(B13:B66)</f>
        <v>824</v>
      </c>
      <c r="C70" s="112">
        <f t="shared" si="3"/>
        <v>8.86</v>
      </c>
      <c r="D70" s="112">
        <f t="shared" si="3"/>
        <v>8.1</v>
      </c>
      <c r="E70" s="178">
        <f t="shared" si="3"/>
        <v>22.5</v>
      </c>
      <c r="F70" s="112">
        <f t="shared" si="3"/>
        <v>0.25</v>
      </c>
      <c r="G70" s="112">
        <f t="shared" si="3"/>
        <v>80</v>
      </c>
      <c r="H70" s="112">
        <f t="shared" si="3"/>
        <v>250</v>
      </c>
      <c r="I70" s="158"/>
    </row>
    <row r="71" spans="1:9" x14ac:dyDescent="0.25">
      <c r="A71" s="238" t="s">
        <v>40</v>
      </c>
      <c r="B71" s="239"/>
      <c r="C71" s="239"/>
      <c r="D71" s="239"/>
      <c r="E71" s="239"/>
      <c r="F71" s="239"/>
      <c r="G71" s="239"/>
      <c r="H71" s="240"/>
      <c r="I71" s="99"/>
    </row>
    <row r="72" spans="1:9" ht="30" x14ac:dyDescent="0.25">
      <c r="A72" s="12" t="s">
        <v>63</v>
      </c>
      <c r="B72" s="121" t="s">
        <v>118</v>
      </c>
      <c r="C72" s="120" t="s">
        <v>106</v>
      </c>
      <c r="D72" s="120" t="s">
        <v>107</v>
      </c>
      <c r="E72" s="174" t="s">
        <v>119</v>
      </c>
      <c r="F72" s="121" t="s">
        <v>108</v>
      </c>
      <c r="G72" s="121" t="s">
        <v>109</v>
      </c>
      <c r="H72" s="127" t="s">
        <v>110</v>
      </c>
      <c r="I72" s="27"/>
    </row>
    <row r="73" spans="1:9" x14ac:dyDescent="0.25">
      <c r="A73" s="155">
        <v>43763</v>
      </c>
      <c r="B73" s="5">
        <v>477</v>
      </c>
      <c r="C73" s="113">
        <v>8.89</v>
      </c>
      <c r="D73" s="113">
        <v>7.7</v>
      </c>
      <c r="E73" s="175">
        <v>20.9</v>
      </c>
      <c r="F73" s="5">
        <v>0</v>
      </c>
      <c r="G73" s="81" t="s">
        <v>113</v>
      </c>
      <c r="H73" s="159" t="s">
        <v>113</v>
      </c>
    </row>
    <row r="74" spans="1:9" x14ac:dyDescent="0.25">
      <c r="A74" s="155">
        <v>43766</v>
      </c>
      <c r="B74" s="5">
        <v>461</v>
      </c>
      <c r="C74" s="113">
        <v>8.5399999999999991</v>
      </c>
      <c r="D74" s="113">
        <v>7.64</v>
      </c>
      <c r="E74" s="175">
        <v>20.7</v>
      </c>
      <c r="F74" s="5">
        <v>0.25</v>
      </c>
      <c r="G74" s="81">
        <v>80</v>
      </c>
      <c r="H74" s="159">
        <v>250</v>
      </c>
    </row>
    <row r="75" spans="1:9" x14ac:dyDescent="0.25">
      <c r="A75" s="155">
        <v>43768</v>
      </c>
      <c r="B75" s="5">
        <v>457</v>
      </c>
      <c r="C75" s="113">
        <v>8.35</v>
      </c>
      <c r="D75" s="113">
        <v>7.47</v>
      </c>
      <c r="E75" s="175">
        <v>21.4</v>
      </c>
      <c r="F75" s="5">
        <v>0.25</v>
      </c>
      <c r="G75" s="81" t="s">
        <v>113</v>
      </c>
      <c r="H75" s="159" t="s">
        <v>113</v>
      </c>
    </row>
    <row r="76" spans="1:9" x14ac:dyDescent="0.25">
      <c r="A76" s="155">
        <v>43770</v>
      </c>
      <c r="B76" s="10">
        <v>433</v>
      </c>
      <c r="C76" s="113">
        <v>8.81</v>
      </c>
      <c r="D76" s="113">
        <v>7.69</v>
      </c>
      <c r="E76" s="175">
        <v>21.6</v>
      </c>
      <c r="F76" s="10">
        <v>0.25</v>
      </c>
      <c r="G76" s="73" t="s">
        <v>113</v>
      </c>
      <c r="H76" s="159" t="s">
        <v>113</v>
      </c>
    </row>
    <row r="77" spans="1:9" x14ac:dyDescent="0.25">
      <c r="A77" s="155">
        <v>43773</v>
      </c>
      <c r="B77" s="10">
        <v>443</v>
      </c>
      <c r="C77" s="113">
        <v>8.9</v>
      </c>
      <c r="D77" s="113">
        <v>6.79</v>
      </c>
      <c r="E77" s="175">
        <v>21.2</v>
      </c>
      <c r="F77" s="10">
        <v>0.25</v>
      </c>
      <c r="G77" s="81">
        <v>80</v>
      </c>
      <c r="H77" s="159">
        <v>250</v>
      </c>
    </row>
    <row r="78" spans="1:9" x14ac:dyDescent="0.25">
      <c r="A78" s="155">
        <v>43775</v>
      </c>
      <c r="B78" s="10">
        <v>403</v>
      </c>
      <c r="C78" s="113">
        <v>8.6999999999999993</v>
      </c>
      <c r="D78" s="113">
        <v>8.01</v>
      </c>
      <c r="E78" s="175">
        <v>21.3</v>
      </c>
      <c r="F78" s="10">
        <v>0.25</v>
      </c>
      <c r="G78" s="81" t="s">
        <v>113</v>
      </c>
      <c r="H78" s="159" t="s">
        <v>113</v>
      </c>
    </row>
    <row r="79" spans="1:9" x14ac:dyDescent="0.25">
      <c r="A79" s="155">
        <v>43777</v>
      </c>
      <c r="B79" s="10">
        <v>402</v>
      </c>
      <c r="C79" s="113">
        <v>8.7100000000000009</v>
      </c>
      <c r="D79" s="113">
        <v>6.69</v>
      </c>
      <c r="E79" s="175">
        <v>22</v>
      </c>
      <c r="F79" s="10">
        <v>0.25</v>
      </c>
      <c r="G79" s="73" t="s">
        <v>113</v>
      </c>
      <c r="H79" s="159" t="s">
        <v>113</v>
      </c>
    </row>
    <row r="80" spans="1:9" x14ac:dyDescent="0.25">
      <c r="A80" s="155">
        <v>43781</v>
      </c>
      <c r="B80" s="10">
        <v>427</v>
      </c>
      <c r="C80" s="113">
        <v>8.7200000000000006</v>
      </c>
      <c r="D80" s="113">
        <v>7.33</v>
      </c>
      <c r="E80" s="175">
        <v>22.1</v>
      </c>
      <c r="F80" s="10">
        <v>0</v>
      </c>
      <c r="G80" s="81">
        <v>80</v>
      </c>
      <c r="H80" s="159">
        <v>425</v>
      </c>
    </row>
    <row r="81" spans="1:8" x14ac:dyDescent="0.25">
      <c r="A81" s="155">
        <v>43782</v>
      </c>
      <c r="B81" s="10">
        <v>428</v>
      </c>
      <c r="C81" s="113">
        <v>8.52</v>
      </c>
      <c r="D81" s="113">
        <v>7.69</v>
      </c>
      <c r="E81" s="175">
        <v>22</v>
      </c>
      <c r="F81" s="10">
        <v>0.25</v>
      </c>
      <c r="G81" s="81" t="s">
        <v>113</v>
      </c>
      <c r="H81" s="159" t="s">
        <v>113</v>
      </c>
    </row>
    <row r="82" spans="1:8" x14ac:dyDescent="0.25">
      <c r="A82" s="155">
        <v>43784</v>
      </c>
      <c r="B82" s="10">
        <v>389</v>
      </c>
      <c r="C82" s="113">
        <v>8.4600000000000009</v>
      </c>
      <c r="D82" s="113">
        <v>7.61</v>
      </c>
      <c r="E82" s="175">
        <v>22.1</v>
      </c>
      <c r="F82" s="10">
        <v>0</v>
      </c>
      <c r="G82" s="73" t="s">
        <v>113</v>
      </c>
      <c r="H82" s="159" t="s">
        <v>113</v>
      </c>
    </row>
    <row r="83" spans="1:8" x14ac:dyDescent="0.25">
      <c r="A83" s="155">
        <v>43787</v>
      </c>
      <c r="B83" s="10">
        <v>396</v>
      </c>
      <c r="C83" s="113">
        <v>8.82</v>
      </c>
      <c r="D83" s="113">
        <v>7.59</v>
      </c>
      <c r="E83" s="175">
        <v>21</v>
      </c>
      <c r="F83" s="10">
        <v>0.25</v>
      </c>
      <c r="G83" s="81">
        <v>80</v>
      </c>
      <c r="H83" s="159">
        <v>250</v>
      </c>
    </row>
    <row r="84" spans="1:8" x14ac:dyDescent="0.25">
      <c r="A84" s="156" t="s">
        <v>111</v>
      </c>
      <c r="B84" s="58">
        <f t="shared" ref="B84:H84" si="4">AVERAGE(B73:B83)</f>
        <v>428.72727272727275</v>
      </c>
      <c r="C84" s="58">
        <f t="shared" si="4"/>
        <v>8.6745454545454539</v>
      </c>
      <c r="D84" s="58">
        <f t="shared" si="4"/>
        <v>7.4736363636363627</v>
      </c>
      <c r="E84" s="177">
        <f t="shared" si="4"/>
        <v>21.481818181818181</v>
      </c>
      <c r="F84" s="58">
        <f t="shared" si="4"/>
        <v>0.18181818181818182</v>
      </c>
      <c r="G84" s="58">
        <f t="shared" si="4"/>
        <v>80</v>
      </c>
      <c r="H84" s="59">
        <f t="shared" si="4"/>
        <v>293.75</v>
      </c>
    </row>
    <row r="85" spans="1:8" x14ac:dyDescent="0.25">
      <c r="A85" s="156" t="s">
        <v>112</v>
      </c>
      <c r="B85" s="58">
        <f t="shared" ref="B85:H85" si="5">_xlfn.STDEV.S(B73:B83)</f>
        <v>29.020995534581193</v>
      </c>
      <c r="C85" s="58">
        <f t="shared" si="5"/>
        <v>0.18277656503849948</v>
      </c>
      <c r="D85" s="58">
        <f t="shared" si="5"/>
        <v>0.39930621651240855</v>
      </c>
      <c r="E85" s="177">
        <f t="shared" si="5"/>
        <v>0.5115040211341102</v>
      </c>
      <c r="F85" s="58">
        <f t="shared" si="5"/>
        <v>0.11677484162422844</v>
      </c>
      <c r="G85" s="58">
        <f t="shared" si="5"/>
        <v>0</v>
      </c>
      <c r="H85" s="59">
        <f t="shared" si="5"/>
        <v>87.5</v>
      </c>
    </row>
    <row r="86" spans="1:8" x14ac:dyDescent="0.25">
      <c r="A86" s="156" t="s">
        <v>114</v>
      </c>
      <c r="B86" s="58">
        <f t="shared" ref="B86:H86" si="6">MIN(B73:B83)</f>
        <v>389</v>
      </c>
      <c r="C86" s="58">
        <f t="shared" si="6"/>
        <v>8.35</v>
      </c>
      <c r="D86" s="58">
        <f t="shared" si="6"/>
        <v>6.69</v>
      </c>
      <c r="E86" s="177">
        <f t="shared" si="6"/>
        <v>20.7</v>
      </c>
      <c r="F86" s="58">
        <f t="shared" si="6"/>
        <v>0</v>
      </c>
      <c r="G86" s="58">
        <f t="shared" si="6"/>
        <v>80</v>
      </c>
      <c r="H86" s="59">
        <f t="shared" si="6"/>
        <v>250</v>
      </c>
    </row>
    <row r="87" spans="1:8" ht="15.75" thickBot="1" x14ac:dyDescent="0.3">
      <c r="A87" s="157" t="s">
        <v>115</v>
      </c>
      <c r="B87" s="112">
        <f t="shared" ref="B87:H87" si="7">MAX(B73:B83)</f>
        <v>477</v>
      </c>
      <c r="C87" s="112">
        <f t="shared" si="7"/>
        <v>8.9</v>
      </c>
      <c r="D87" s="112">
        <f t="shared" si="7"/>
        <v>8.01</v>
      </c>
      <c r="E87" s="178">
        <f t="shared" si="7"/>
        <v>22.1</v>
      </c>
      <c r="F87" s="112">
        <f t="shared" si="7"/>
        <v>0.25</v>
      </c>
      <c r="G87" s="112">
        <f t="shared" si="7"/>
        <v>80</v>
      </c>
      <c r="H87" s="60">
        <f t="shared" si="7"/>
        <v>425</v>
      </c>
    </row>
    <row r="88" spans="1:8" x14ac:dyDescent="0.25">
      <c r="A88" s="238" t="s">
        <v>39</v>
      </c>
      <c r="B88" s="239"/>
      <c r="C88" s="239"/>
      <c r="D88" s="239"/>
      <c r="E88" s="239"/>
      <c r="F88" s="239"/>
      <c r="G88" s="239"/>
      <c r="H88" s="240"/>
    </row>
    <row r="89" spans="1:8" ht="30" x14ac:dyDescent="0.25">
      <c r="A89" s="12" t="s">
        <v>63</v>
      </c>
      <c r="B89" s="121" t="s">
        <v>118</v>
      </c>
      <c r="C89" s="120" t="s">
        <v>106</v>
      </c>
      <c r="D89" s="120" t="s">
        <v>107</v>
      </c>
      <c r="E89" s="174" t="s">
        <v>119</v>
      </c>
      <c r="F89" s="121" t="s">
        <v>108</v>
      </c>
      <c r="G89" s="121" t="s">
        <v>109</v>
      </c>
      <c r="H89" s="127" t="s">
        <v>110</v>
      </c>
    </row>
    <row r="90" spans="1:8" x14ac:dyDescent="0.25">
      <c r="A90" s="155">
        <v>43768</v>
      </c>
      <c r="B90" s="5">
        <v>421</v>
      </c>
      <c r="C90" s="113">
        <v>8.82</v>
      </c>
      <c r="D90" s="113">
        <v>7.73</v>
      </c>
      <c r="E90" s="175">
        <v>21.5</v>
      </c>
      <c r="F90" s="5">
        <v>0</v>
      </c>
      <c r="G90" s="81" t="s">
        <v>113</v>
      </c>
      <c r="H90" s="159" t="s">
        <v>113</v>
      </c>
    </row>
    <row r="91" spans="1:8" x14ac:dyDescent="0.25">
      <c r="A91" s="155">
        <v>43770</v>
      </c>
      <c r="B91" s="5">
        <v>408</v>
      </c>
      <c r="C91" s="113">
        <v>8.9499999999999993</v>
      </c>
      <c r="D91" s="113">
        <v>7.81</v>
      </c>
      <c r="E91" s="175">
        <v>21.6</v>
      </c>
      <c r="F91" s="5">
        <v>0</v>
      </c>
      <c r="G91" s="81" t="s">
        <v>113</v>
      </c>
      <c r="H91" s="159" t="s">
        <v>113</v>
      </c>
    </row>
    <row r="92" spans="1:8" x14ac:dyDescent="0.25">
      <c r="A92" s="155">
        <v>43773</v>
      </c>
      <c r="B92" s="5">
        <v>420</v>
      </c>
      <c r="C92" s="113">
        <v>7.9</v>
      </c>
      <c r="D92" s="113">
        <v>7.72</v>
      </c>
      <c r="E92" s="175">
        <v>21</v>
      </c>
      <c r="F92" s="5">
        <v>0</v>
      </c>
      <c r="G92" s="81">
        <v>80</v>
      </c>
      <c r="H92" s="159">
        <v>425</v>
      </c>
    </row>
    <row r="93" spans="1:8" x14ac:dyDescent="0.25">
      <c r="A93" s="155">
        <v>43775</v>
      </c>
      <c r="B93" s="10">
        <v>418</v>
      </c>
      <c r="C93" s="113">
        <v>8.9</v>
      </c>
      <c r="D93" s="113">
        <v>7.74</v>
      </c>
      <c r="E93" s="175">
        <v>21.3</v>
      </c>
      <c r="F93" s="10">
        <v>0.25</v>
      </c>
      <c r="G93" s="73" t="s">
        <v>113</v>
      </c>
      <c r="H93" s="159" t="s">
        <v>113</v>
      </c>
    </row>
    <row r="94" spans="1:8" x14ac:dyDescent="0.25">
      <c r="A94" s="155">
        <v>43777</v>
      </c>
      <c r="B94" s="10">
        <v>407</v>
      </c>
      <c r="C94" s="113">
        <v>8.16</v>
      </c>
      <c r="D94" s="113">
        <v>6.89</v>
      </c>
      <c r="E94" s="175">
        <v>22</v>
      </c>
      <c r="F94" s="10">
        <v>0.25</v>
      </c>
      <c r="G94" s="73" t="s">
        <v>113</v>
      </c>
      <c r="H94" s="159" t="s">
        <v>113</v>
      </c>
    </row>
    <row r="95" spans="1:8" x14ac:dyDescent="0.25">
      <c r="A95" s="155">
        <v>43781</v>
      </c>
      <c r="B95" s="10">
        <v>409</v>
      </c>
      <c r="C95" s="113">
        <v>8.41</v>
      </c>
      <c r="D95" s="113">
        <v>6.84</v>
      </c>
      <c r="E95" s="175">
        <v>22.4</v>
      </c>
      <c r="F95" s="10">
        <v>0</v>
      </c>
      <c r="G95" s="81">
        <v>80</v>
      </c>
      <c r="H95" s="159">
        <v>425</v>
      </c>
    </row>
    <row r="96" spans="1:8" x14ac:dyDescent="0.25">
      <c r="A96" s="155">
        <v>43782</v>
      </c>
      <c r="B96" s="10">
        <v>427</v>
      </c>
      <c r="C96" s="113">
        <v>8.56</v>
      </c>
      <c r="D96" s="113">
        <v>7.77</v>
      </c>
      <c r="E96" s="175">
        <v>22.2</v>
      </c>
      <c r="F96" s="10">
        <v>0.25</v>
      </c>
      <c r="G96" s="73" t="s">
        <v>113</v>
      </c>
      <c r="H96" s="159" t="s">
        <v>113</v>
      </c>
    </row>
    <row r="97" spans="1:8" x14ac:dyDescent="0.25">
      <c r="A97" s="155">
        <v>43784</v>
      </c>
      <c r="B97" s="10">
        <v>384</v>
      </c>
      <c r="C97" s="113">
        <v>8.6</v>
      </c>
      <c r="D97" s="113">
        <v>7.69</v>
      </c>
      <c r="E97" s="175">
        <v>22.2</v>
      </c>
      <c r="F97" s="10">
        <v>0</v>
      </c>
      <c r="G97" s="73" t="s">
        <v>113</v>
      </c>
      <c r="H97" s="159" t="s">
        <v>113</v>
      </c>
    </row>
    <row r="98" spans="1:8" x14ac:dyDescent="0.25">
      <c r="A98" s="155">
        <v>43787</v>
      </c>
      <c r="B98" s="10">
        <v>393</v>
      </c>
      <c r="C98" s="113">
        <v>8.56</v>
      </c>
      <c r="D98" s="113">
        <v>7.5</v>
      </c>
      <c r="E98" s="175">
        <v>21.1</v>
      </c>
      <c r="F98" s="10">
        <v>0</v>
      </c>
      <c r="G98" s="81">
        <v>80</v>
      </c>
      <c r="H98" s="159">
        <v>250</v>
      </c>
    </row>
    <row r="99" spans="1:8" x14ac:dyDescent="0.25">
      <c r="A99" s="155">
        <v>43789</v>
      </c>
      <c r="B99" s="10">
        <v>434</v>
      </c>
      <c r="C99" s="113">
        <v>8.84</v>
      </c>
      <c r="D99" s="113">
        <v>7.54</v>
      </c>
      <c r="E99" s="175">
        <v>21.7</v>
      </c>
      <c r="F99" s="10">
        <v>0.25</v>
      </c>
      <c r="G99" s="73" t="s">
        <v>113</v>
      </c>
      <c r="H99" s="159" t="s">
        <v>113</v>
      </c>
    </row>
    <row r="100" spans="1:8" x14ac:dyDescent="0.25">
      <c r="A100" s="155">
        <v>43791</v>
      </c>
      <c r="B100" s="10">
        <v>444</v>
      </c>
      <c r="C100" s="113">
        <v>8.9</v>
      </c>
      <c r="D100" s="113">
        <v>6.75</v>
      </c>
      <c r="E100" s="175">
        <v>21.3</v>
      </c>
      <c r="F100" s="10">
        <v>0.25</v>
      </c>
      <c r="G100" s="73" t="s">
        <v>113</v>
      </c>
      <c r="H100" s="159" t="s">
        <v>113</v>
      </c>
    </row>
    <row r="101" spans="1:8" x14ac:dyDescent="0.25">
      <c r="A101" s="155">
        <v>43794</v>
      </c>
      <c r="B101" s="10">
        <v>478</v>
      </c>
      <c r="C101" s="113">
        <v>8.98</v>
      </c>
      <c r="D101" s="113">
        <v>6.83</v>
      </c>
      <c r="E101" s="175">
        <v>21</v>
      </c>
      <c r="F101" s="10">
        <v>0.25</v>
      </c>
      <c r="G101" s="81">
        <v>40</v>
      </c>
      <c r="H101" s="159">
        <v>250</v>
      </c>
    </row>
    <row r="102" spans="1:8" x14ac:dyDescent="0.25">
      <c r="A102" s="156" t="s">
        <v>111</v>
      </c>
      <c r="B102" s="58">
        <f t="shared" ref="B102:H102" si="8">AVERAGE(B90:B101)</f>
        <v>420.25</v>
      </c>
      <c r="C102" s="58">
        <f t="shared" si="8"/>
        <v>8.6316666666666677</v>
      </c>
      <c r="D102" s="58">
        <f t="shared" si="8"/>
        <v>7.4008333333333338</v>
      </c>
      <c r="E102" s="177">
        <f t="shared" si="8"/>
        <v>21.608333333333331</v>
      </c>
      <c r="F102" s="58">
        <f t="shared" si="8"/>
        <v>0.125</v>
      </c>
      <c r="G102" s="58">
        <f t="shared" si="8"/>
        <v>70</v>
      </c>
      <c r="H102" s="59">
        <f t="shared" si="8"/>
        <v>337.5</v>
      </c>
    </row>
    <row r="103" spans="1:8" x14ac:dyDescent="0.25">
      <c r="A103" s="156" t="s">
        <v>112</v>
      </c>
      <c r="B103" s="58">
        <f t="shared" ref="B103:H103" si="9">_xlfn.STDEV.S(B90:B101)</f>
        <v>24.584270654960736</v>
      </c>
      <c r="C103" s="58">
        <f t="shared" si="9"/>
        <v>0.33895114513433755</v>
      </c>
      <c r="D103" s="58">
        <f t="shared" si="9"/>
        <v>0.43345248944499171</v>
      </c>
      <c r="E103" s="177">
        <f t="shared" si="9"/>
        <v>0.49443876968710326</v>
      </c>
      <c r="F103" s="58">
        <f t="shared" si="9"/>
        <v>0.13055824196677338</v>
      </c>
      <c r="G103" s="58">
        <f t="shared" si="9"/>
        <v>20</v>
      </c>
      <c r="H103" s="59">
        <f t="shared" si="9"/>
        <v>101.03629710818451</v>
      </c>
    </row>
    <row r="104" spans="1:8" x14ac:dyDescent="0.25">
      <c r="A104" s="156" t="s">
        <v>114</v>
      </c>
      <c r="B104" s="58">
        <f t="shared" ref="B104:H104" si="10">MIN(B90:B101)</f>
        <v>384</v>
      </c>
      <c r="C104" s="58">
        <f t="shared" si="10"/>
        <v>7.9</v>
      </c>
      <c r="D104" s="58">
        <f t="shared" si="10"/>
        <v>6.75</v>
      </c>
      <c r="E104" s="177">
        <f t="shared" si="10"/>
        <v>21</v>
      </c>
      <c r="F104" s="58">
        <f t="shared" si="10"/>
        <v>0</v>
      </c>
      <c r="G104" s="58">
        <f t="shared" si="10"/>
        <v>40</v>
      </c>
      <c r="H104" s="59">
        <f t="shared" si="10"/>
        <v>250</v>
      </c>
    </row>
    <row r="105" spans="1:8" ht="15.75" thickBot="1" x14ac:dyDescent="0.3">
      <c r="A105" s="157" t="s">
        <v>115</v>
      </c>
      <c r="B105" s="112">
        <f t="shared" ref="B105:H105" si="11">MAX(B90:B101)</f>
        <v>478</v>
      </c>
      <c r="C105" s="112">
        <f t="shared" si="11"/>
        <v>8.98</v>
      </c>
      <c r="D105" s="112">
        <f t="shared" si="11"/>
        <v>7.81</v>
      </c>
      <c r="E105" s="178">
        <f t="shared" si="11"/>
        <v>22.4</v>
      </c>
      <c r="F105" s="112">
        <f t="shared" si="11"/>
        <v>0.25</v>
      </c>
      <c r="G105" s="112">
        <f t="shared" si="11"/>
        <v>80</v>
      </c>
      <c r="H105" s="60">
        <f t="shared" si="11"/>
        <v>425</v>
      </c>
    </row>
    <row r="108" spans="1:8" x14ac:dyDescent="0.25">
      <c r="A108" s="37" t="s">
        <v>127</v>
      </c>
      <c r="B108" s="206"/>
      <c r="C108" s="206"/>
      <c r="D108" s="206"/>
      <c r="E108" s="207"/>
      <c r="F108" s="206"/>
      <c r="G108" s="206"/>
      <c r="H108" s="206"/>
    </row>
    <row r="109" spans="1:8" ht="30" x14ac:dyDescent="0.25">
      <c r="B109" s="121" t="s">
        <v>118</v>
      </c>
      <c r="C109" s="120" t="s">
        <v>106</v>
      </c>
      <c r="D109" s="120" t="s">
        <v>107</v>
      </c>
      <c r="E109" s="174" t="s">
        <v>119</v>
      </c>
      <c r="F109" s="120" t="s">
        <v>108</v>
      </c>
      <c r="G109" s="121" t="s">
        <v>109</v>
      </c>
      <c r="H109" s="121" t="s">
        <v>110</v>
      </c>
    </row>
    <row r="110" spans="1:8" x14ac:dyDescent="0.25">
      <c r="A110" s="156" t="s">
        <v>111</v>
      </c>
      <c r="B110">
        <f t="shared" ref="B110:H110" si="12">AVERAGE(B$3:B$6,B$13:B$66,B$73:B$83,B$90:B$101)</f>
        <v>462.45679012345681</v>
      </c>
      <c r="C110" s="29">
        <f t="shared" si="12"/>
        <v>7.9828395061728381</v>
      </c>
      <c r="D110" s="29">
        <f t="shared" si="12"/>
        <v>7.5924691358024692</v>
      </c>
      <c r="E110" s="179">
        <f t="shared" si="12"/>
        <v>21.697530864197528</v>
      </c>
      <c r="F110">
        <f t="shared" si="12"/>
        <v>8.9506172839506168E-2</v>
      </c>
      <c r="G110">
        <f t="shared" si="12"/>
        <v>78.620689655172413</v>
      </c>
      <c r="H110">
        <f t="shared" si="12"/>
        <v>241.20689655172413</v>
      </c>
    </row>
    <row r="111" spans="1:8" x14ac:dyDescent="0.25">
      <c r="A111" s="156" t="s">
        <v>112</v>
      </c>
      <c r="B111">
        <f t="shared" ref="B111:H111" si="13">STDEV(B$3:B$6,B$13:B$66,B$73:B$83,B$90:B$101)</f>
        <v>65.918709290822051</v>
      </c>
      <c r="C111" s="29">
        <f t="shared" si="13"/>
        <v>0.76167124563012956</v>
      </c>
      <c r="D111" s="29">
        <f t="shared" si="13"/>
        <v>0.28744360692228632</v>
      </c>
      <c r="E111" s="179">
        <f t="shared" si="13"/>
        <v>0.45743177323016576</v>
      </c>
      <c r="F111">
        <f t="shared" si="13"/>
        <v>0.12060162970051339</v>
      </c>
      <c r="G111">
        <f t="shared" si="13"/>
        <v>7.4278135270820744</v>
      </c>
      <c r="H111">
        <f t="shared" si="13"/>
        <v>82.599022525496551</v>
      </c>
    </row>
    <row r="112" spans="1:8" x14ac:dyDescent="0.25">
      <c r="A112" s="156" t="s">
        <v>114</v>
      </c>
      <c r="B112">
        <f t="shared" ref="B112:H112" si="14">MIN(B$3:B$6,B$13:B$66,B$73:B$83,B$90:B$101)</f>
        <v>384</v>
      </c>
      <c r="C112" s="29">
        <f t="shared" si="14"/>
        <v>5.86</v>
      </c>
      <c r="D112" s="29">
        <f t="shared" si="14"/>
        <v>6.69</v>
      </c>
      <c r="E112" s="179">
        <f t="shared" si="14"/>
        <v>20.6</v>
      </c>
      <c r="F112">
        <f t="shared" si="14"/>
        <v>0</v>
      </c>
      <c r="G112">
        <f t="shared" si="14"/>
        <v>40</v>
      </c>
      <c r="H112">
        <f t="shared" si="14"/>
        <v>120</v>
      </c>
    </row>
    <row r="113" spans="1:8" ht="15.75" thickBot="1" x14ac:dyDescent="0.3">
      <c r="A113" s="157" t="s">
        <v>115</v>
      </c>
      <c r="B113">
        <f t="shared" ref="B113:H113" si="15">MAX(B$3:B$6,B$13:B$66,B$73:B$83,B$90:B$101)</f>
        <v>824</v>
      </c>
      <c r="C113" s="29">
        <f t="shared" si="15"/>
        <v>8.98</v>
      </c>
      <c r="D113" s="29">
        <f t="shared" si="15"/>
        <v>8.1</v>
      </c>
      <c r="E113" s="179">
        <f t="shared" si="15"/>
        <v>22.5</v>
      </c>
      <c r="F113">
        <f t="shared" si="15"/>
        <v>0.25</v>
      </c>
      <c r="G113">
        <f t="shared" si="15"/>
        <v>80</v>
      </c>
      <c r="H113">
        <f t="shared" si="15"/>
        <v>425</v>
      </c>
    </row>
  </sheetData>
  <mergeCells count="4">
    <mergeCell ref="A1:F1"/>
    <mergeCell ref="A11:I11"/>
    <mergeCell ref="A71:H71"/>
    <mergeCell ref="A88:H88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I114"/>
  <sheetViews>
    <sheetView workbookViewId="0">
      <selection activeCell="J117" sqref="J117"/>
    </sheetView>
  </sheetViews>
  <sheetFormatPr defaultRowHeight="15" x14ac:dyDescent="0.25"/>
  <cols>
    <col min="2" max="2" width="8.5703125" style="29" customWidth="1"/>
    <col min="3" max="3" width="8.42578125" style="29" customWidth="1"/>
    <col min="4" max="4" width="8.5703125" style="29" customWidth="1"/>
    <col min="5" max="5" width="8" style="179" customWidth="1"/>
    <col min="6" max="6" width="11.140625" style="29" customWidth="1"/>
    <col min="7" max="7" width="11.7109375" style="184" customWidth="1"/>
    <col min="8" max="8" width="11.85546875" style="184" customWidth="1"/>
  </cols>
  <sheetData>
    <row r="1" spans="1:9" x14ac:dyDescent="0.25">
      <c r="A1" s="238" t="s">
        <v>105</v>
      </c>
      <c r="B1" s="239"/>
      <c r="C1" s="239"/>
      <c r="D1" s="239"/>
      <c r="E1" s="239"/>
      <c r="F1" s="239"/>
      <c r="G1" s="239"/>
      <c r="H1" s="240"/>
    </row>
    <row r="2" spans="1:9" ht="33.75" customHeight="1" x14ac:dyDescent="0.25">
      <c r="A2" s="12" t="s">
        <v>63</v>
      </c>
      <c r="B2" s="120" t="s">
        <v>117</v>
      </c>
      <c r="C2" s="120" t="s">
        <v>106</v>
      </c>
      <c r="D2" s="120" t="s">
        <v>107</v>
      </c>
      <c r="E2" s="174" t="s">
        <v>119</v>
      </c>
      <c r="F2" s="120" t="s">
        <v>108</v>
      </c>
      <c r="G2" s="180" t="s">
        <v>109</v>
      </c>
      <c r="H2" s="185" t="s">
        <v>110</v>
      </c>
    </row>
    <row r="3" spans="1:9" x14ac:dyDescent="0.25">
      <c r="A3" s="155">
        <v>43655</v>
      </c>
      <c r="B3" s="113">
        <v>10.68</v>
      </c>
      <c r="C3" s="113">
        <v>8.35</v>
      </c>
      <c r="D3" s="113">
        <v>7.2</v>
      </c>
      <c r="E3" s="175">
        <v>25.8</v>
      </c>
      <c r="F3" s="113">
        <v>0</v>
      </c>
      <c r="G3" s="181">
        <v>120</v>
      </c>
      <c r="H3" s="186">
        <v>300</v>
      </c>
    </row>
    <row r="4" spans="1:9" x14ac:dyDescent="0.25">
      <c r="A4" s="155">
        <v>43656</v>
      </c>
      <c r="B4" s="113">
        <v>9.64</v>
      </c>
      <c r="C4" s="113">
        <v>9.98</v>
      </c>
      <c r="D4" s="113">
        <v>6.97</v>
      </c>
      <c r="E4" s="175">
        <v>26.7</v>
      </c>
      <c r="F4" s="113">
        <v>0</v>
      </c>
      <c r="G4" s="181" t="s">
        <v>113</v>
      </c>
      <c r="H4" s="186" t="s">
        <v>113</v>
      </c>
    </row>
    <row r="5" spans="1:9" x14ac:dyDescent="0.25">
      <c r="A5" s="155">
        <v>43658</v>
      </c>
      <c r="B5" s="172" t="s">
        <v>113</v>
      </c>
      <c r="C5" s="113">
        <v>8.23</v>
      </c>
      <c r="D5" s="172" t="s">
        <v>113</v>
      </c>
      <c r="E5" s="176">
        <v>25.8</v>
      </c>
      <c r="F5" s="172">
        <v>0.5</v>
      </c>
      <c r="G5" s="181" t="s">
        <v>113</v>
      </c>
      <c r="H5" s="186" t="s">
        <v>113</v>
      </c>
    </row>
    <row r="6" spans="1:9" x14ac:dyDescent="0.25">
      <c r="A6" s="155">
        <v>43661</v>
      </c>
      <c r="B6" s="113">
        <v>11.03</v>
      </c>
      <c r="C6" s="113">
        <v>10.24</v>
      </c>
      <c r="D6" s="113">
        <v>7.81</v>
      </c>
      <c r="E6" s="175">
        <v>26</v>
      </c>
      <c r="F6" s="113">
        <v>0.25</v>
      </c>
      <c r="G6" s="181">
        <v>120</v>
      </c>
      <c r="H6" s="186">
        <v>300</v>
      </c>
    </row>
    <row r="7" spans="1:9" x14ac:dyDescent="0.25">
      <c r="A7" s="156" t="s">
        <v>111</v>
      </c>
      <c r="B7" s="58">
        <f t="shared" ref="B7:H7" si="0">AVERAGE(B3:B6)</f>
        <v>10.450000000000001</v>
      </c>
      <c r="C7" s="58">
        <f t="shared" si="0"/>
        <v>9.1999999999999993</v>
      </c>
      <c r="D7" s="58">
        <f t="shared" si="0"/>
        <v>7.3266666666666671</v>
      </c>
      <c r="E7" s="177">
        <f t="shared" si="0"/>
        <v>26.074999999999999</v>
      </c>
      <c r="F7" s="58">
        <f t="shared" si="0"/>
        <v>0.1875</v>
      </c>
      <c r="G7" s="182">
        <f t="shared" si="0"/>
        <v>120</v>
      </c>
      <c r="H7" s="187">
        <f t="shared" si="0"/>
        <v>300</v>
      </c>
    </row>
    <row r="8" spans="1:9" x14ac:dyDescent="0.25">
      <c r="A8" s="156" t="s">
        <v>112</v>
      </c>
      <c r="B8" s="58">
        <f t="shared" ref="B8:H8" si="1">_xlfn.STDEV.S(B3:B6)</f>
        <v>0.72297994439679936</v>
      </c>
      <c r="C8" s="58">
        <f t="shared" si="1"/>
        <v>1.0572606112023659</v>
      </c>
      <c r="D8" s="58">
        <f t="shared" si="1"/>
        <v>0.43408908455907202</v>
      </c>
      <c r="E8" s="177">
        <f t="shared" si="1"/>
        <v>0.42720018726587589</v>
      </c>
      <c r="F8" s="58">
        <f t="shared" si="1"/>
        <v>0.23935677693908453</v>
      </c>
      <c r="G8" s="182">
        <f t="shared" si="1"/>
        <v>0</v>
      </c>
      <c r="H8" s="187">
        <f t="shared" si="1"/>
        <v>0</v>
      </c>
    </row>
    <row r="9" spans="1:9" x14ac:dyDescent="0.25">
      <c r="A9" s="156" t="s">
        <v>114</v>
      </c>
      <c r="B9" s="58">
        <f t="shared" ref="B9:H9" si="2">MIN(B3:B6)</f>
        <v>9.64</v>
      </c>
      <c r="C9" s="58">
        <f t="shared" si="2"/>
        <v>8.23</v>
      </c>
      <c r="D9" s="58">
        <f t="shared" si="2"/>
        <v>6.97</v>
      </c>
      <c r="E9" s="177">
        <f t="shared" si="2"/>
        <v>25.8</v>
      </c>
      <c r="F9" s="58">
        <f t="shared" si="2"/>
        <v>0</v>
      </c>
      <c r="G9" s="182">
        <f t="shared" si="2"/>
        <v>120</v>
      </c>
      <c r="H9" s="187">
        <f t="shared" si="2"/>
        <v>300</v>
      </c>
    </row>
    <row r="10" spans="1:9" ht="15.75" thickBot="1" x14ac:dyDescent="0.3">
      <c r="A10" s="156" t="s">
        <v>115</v>
      </c>
      <c r="B10" s="58">
        <f t="shared" ref="B10:H10" si="3">MAX(B3:B6)</f>
        <v>11.03</v>
      </c>
      <c r="C10" s="58">
        <f t="shared" si="3"/>
        <v>10.24</v>
      </c>
      <c r="D10" s="58">
        <f t="shared" si="3"/>
        <v>7.81</v>
      </c>
      <c r="E10" s="177">
        <f t="shared" si="3"/>
        <v>26.7</v>
      </c>
      <c r="F10" s="58">
        <f t="shared" si="3"/>
        <v>0.5</v>
      </c>
      <c r="G10" s="182">
        <f t="shared" si="3"/>
        <v>120</v>
      </c>
      <c r="H10" s="187">
        <f t="shared" si="3"/>
        <v>300</v>
      </c>
    </row>
    <row r="11" spans="1:9" x14ac:dyDescent="0.25">
      <c r="A11" s="238" t="s">
        <v>116</v>
      </c>
      <c r="B11" s="239"/>
      <c r="C11" s="239"/>
      <c r="D11" s="239"/>
      <c r="E11" s="239"/>
      <c r="F11" s="239"/>
      <c r="G11" s="239"/>
      <c r="H11" s="239"/>
      <c r="I11" s="240"/>
    </row>
    <row r="12" spans="1:9" ht="30" x14ac:dyDescent="0.25">
      <c r="A12" s="12" t="s">
        <v>63</v>
      </c>
      <c r="B12" s="120" t="s">
        <v>117</v>
      </c>
      <c r="C12" s="120" t="s">
        <v>106</v>
      </c>
      <c r="D12" s="120" t="s">
        <v>107</v>
      </c>
      <c r="E12" s="174" t="s">
        <v>119</v>
      </c>
      <c r="F12" s="120" t="s">
        <v>108</v>
      </c>
      <c r="G12" s="180" t="s">
        <v>109</v>
      </c>
      <c r="H12" s="180" t="s">
        <v>110</v>
      </c>
      <c r="I12" s="127" t="s">
        <v>0</v>
      </c>
    </row>
    <row r="13" spans="1:9" x14ac:dyDescent="0.25">
      <c r="A13" s="155">
        <v>43663</v>
      </c>
      <c r="B13" s="113">
        <v>8.08</v>
      </c>
      <c r="C13" s="113">
        <v>7.44</v>
      </c>
      <c r="D13" s="113">
        <v>7.42</v>
      </c>
      <c r="E13" s="175">
        <v>26.3</v>
      </c>
      <c r="F13" s="113">
        <v>1</v>
      </c>
      <c r="G13" s="71">
        <v>120</v>
      </c>
      <c r="H13" s="82">
        <v>300</v>
      </c>
      <c r="I13" s="15">
        <v>11</v>
      </c>
    </row>
    <row r="14" spans="1:9" x14ac:dyDescent="0.25">
      <c r="A14" s="155">
        <v>43663</v>
      </c>
      <c r="B14" s="113">
        <v>8.34</v>
      </c>
      <c r="C14" s="113">
        <v>6.4</v>
      </c>
      <c r="D14" s="113">
        <v>7.4</v>
      </c>
      <c r="E14" s="175">
        <v>26.2</v>
      </c>
      <c r="F14" s="113">
        <v>1</v>
      </c>
      <c r="G14" s="71">
        <v>120</v>
      </c>
      <c r="H14" s="82">
        <v>300</v>
      </c>
      <c r="I14" s="15">
        <v>17</v>
      </c>
    </row>
    <row r="15" spans="1:9" x14ac:dyDescent="0.25">
      <c r="A15" s="155">
        <v>43663</v>
      </c>
      <c r="B15" s="113">
        <v>8.3800000000000008</v>
      </c>
      <c r="C15" s="113">
        <v>6.77</v>
      </c>
      <c r="D15" s="113">
        <v>7.46</v>
      </c>
      <c r="E15" s="175">
        <v>26</v>
      </c>
      <c r="F15" s="113">
        <v>0</v>
      </c>
      <c r="G15" s="71">
        <v>120</v>
      </c>
      <c r="H15" s="82">
        <v>300</v>
      </c>
      <c r="I15" s="15">
        <v>35</v>
      </c>
    </row>
    <row r="16" spans="1:9" x14ac:dyDescent="0.25">
      <c r="A16" s="155">
        <v>43665</v>
      </c>
      <c r="B16" s="113">
        <v>8.61</v>
      </c>
      <c r="C16" s="113">
        <v>7.22</v>
      </c>
      <c r="D16" s="173">
        <v>6.85</v>
      </c>
      <c r="E16" s="175">
        <v>26.4</v>
      </c>
      <c r="F16" s="113">
        <v>0.5</v>
      </c>
      <c r="G16" s="181" t="s">
        <v>113</v>
      </c>
      <c r="H16" s="181" t="s">
        <v>113</v>
      </c>
      <c r="I16" s="15">
        <v>2</v>
      </c>
    </row>
    <row r="17" spans="1:9" x14ac:dyDescent="0.25">
      <c r="A17" s="155">
        <v>43665</v>
      </c>
      <c r="B17" s="113">
        <v>8.82</v>
      </c>
      <c r="C17" s="113">
        <v>7.19</v>
      </c>
      <c r="D17" s="173">
        <v>6.7</v>
      </c>
      <c r="E17" s="175">
        <v>26.3</v>
      </c>
      <c r="F17" s="113">
        <v>1</v>
      </c>
      <c r="G17" s="181" t="s">
        <v>113</v>
      </c>
      <c r="H17" s="181" t="s">
        <v>113</v>
      </c>
      <c r="I17" s="15">
        <v>8</v>
      </c>
    </row>
    <row r="18" spans="1:9" x14ac:dyDescent="0.25">
      <c r="A18" s="155">
        <v>43665</v>
      </c>
      <c r="B18" s="113">
        <v>8.8800000000000008</v>
      </c>
      <c r="C18" s="113">
        <v>7.19</v>
      </c>
      <c r="D18" s="173">
        <v>6.55</v>
      </c>
      <c r="E18" s="175">
        <v>26.1</v>
      </c>
      <c r="F18" s="113">
        <v>1</v>
      </c>
      <c r="G18" s="181" t="s">
        <v>113</v>
      </c>
      <c r="H18" s="181" t="s">
        <v>113</v>
      </c>
      <c r="I18" s="15">
        <v>10</v>
      </c>
    </row>
    <row r="19" spans="1:9" x14ac:dyDescent="0.25">
      <c r="A19" s="155">
        <v>43668</v>
      </c>
      <c r="B19" s="113">
        <v>9.52</v>
      </c>
      <c r="C19" s="113">
        <v>7.62</v>
      </c>
      <c r="D19" s="173">
        <v>6.67</v>
      </c>
      <c r="E19" s="175">
        <v>25.2</v>
      </c>
      <c r="F19" s="113">
        <v>0.25</v>
      </c>
      <c r="G19" s="82">
        <v>80</v>
      </c>
      <c r="H19" s="82">
        <v>300</v>
      </c>
      <c r="I19" s="15">
        <v>3</v>
      </c>
    </row>
    <row r="20" spans="1:9" x14ac:dyDescent="0.25">
      <c r="A20" s="155">
        <v>43668</v>
      </c>
      <c r="B20" s="113">
        <v>9.44</v>
      </c>
      <c r="C20" s="113">
        <v>7.13</v>
      </c>
      <c r="D20" s="173">
        <v>6.91</v>
      </c>
      <c r="E20" s="175">
        <v>25.3</v>
      </c>
      <c r="F20" s="113">
        <v>0.25</v>
      </c>
      <c r="G20" s="82">
        <v>80</v>
      </c>
      <c r="H20" s="82">
        <v>300</v>
      </c>
      <c r="I20" s="15">
        <v>15</v>
      </c>
    </row>
    <row r="21" spans="1:9" x14ac:dyDescent="0.25">
      <c r="A21" s="155">
        <v>43668</v>
      </c>
      <c r="B21" s="113">
        <v>9.44</v>
      </c>
      <c r="C21" s="113">
        <v>6.66</v>
      </c>
      <c r="D21" s="173">
        <v>7.19</v>
      </c>
      <c r="E21" s="175">
        <v>25.4</v>
      </c>
      <c r="F21" s="113">
        <v>0.25</v>
      </c>
      <c r="G21" s="82">
        <v>80</v>
      </c>
      <c r="H21" s="82">
        <v>300</v>
      </c>
      <c r="I21" s="15">
        <v>24</v>
      </c>
    </row>
    <row r="22" spans="1:9" x14ac:dyDescent="0.25">
      <c r="A22" s="155">
        <v>43670</v>
      </c>
      <c r="B22" s="113">
        <v>10.029999999999999</v>
      </c>
      <c r="C22" s="113">
        <v>7.59</v>
      </c>
      <c r="D22" s="173">
        <v>7.12</v>
      </c>
      <c r="E22" s="175">
        <v>24.1</v>
      </c>
      <c r="F22" s="113">
        <v>0.25</v>
      </c>
      <c r="G22" s="181" t="s">
        <v>113</v>
      </c>
      <c r="H22" s="181" t="s">
        <v>113</v>
      </c>
      <c r="I22" s="15">
        <v>1</v>
      </c>
    </row>
    <row r="23" spans="1:9" x14ac:dyDescent="0.25">
      <c r="A23" s="155">
        <v>43670</v>
      </c>
      <c r="B23" s="113">
        <v>9.93</v>
      </c>
      <c r="C23" s="113">
        <v>8.27</v>
      </c>
      <c r="D23" s="173">
        <v>7.38</v>
      </c>
      <c r="E23" s="175">
        <v>24.4</v>
      </c>
      <c r="F23" s="113">
        <v>0.25</v>
      </c>
      <c r="G23" s="181" t="s">
        <v>113</v>
      </c>
      <c r="H23" s="181" t="s">
        <v>113</v>
      </c>
      <c r="I23" s="15">
        <v>12</v>
      </c>
    </row>
    <row r="24" spans="1:9" x14ac:dyDescent="0.25">
      <c r="A24" s="155">
        <v>43670</v>
      </c>
      <c r="B24" s="113">
        <v>9.8800000000000008</v>
      </c>
      <c r="C24" s="113">
        <v>8.25</v>
      </c>
      <c r="D24" s="173">
        <v>7.49</v>
      </c>
      <c r="E24" s="175">
        <v>25</v>
      </c>
      <c r="F24" s="113">
        <v>0.25</v>
      </c>
      <c r="G24" s="181" t="s">
        <v>113</v>
      </c>
      <c r="H24" s="181" t="s">
        <v>113</v>
      </c>
      <c r="I24" s="15">
        <v>25</v>
      </c>
    </row>
    <row r="25" spans="1:9" x14ac:dyDescent="0.25">
      <c r="A25" s="155">
        <v>43672</v>
      </c>
      <c r="B25" s="113">
        <v>10.09</v>
      </c>
      <c r="C25" s="172">
        <v>9.3699999999999992</v>
      </c>
      <c r="D25" s="173">
        <v>7.86</v>
      </c>
      <c r="E25" s="175">
        <v>25</v>
      </c>
      <c r="F25" s="113">
        <v>0.25</v>
      </c>
      <c r="G25" s="181" t="s">
        <v>113</v>
      </c>
      <c r="H25" s="181" t="s">
        <v>113</v>
      </c>
      <c r="I25" s="15">
        <v>4</v>
      </c>
    </row>
    <row r="26" spans="1:9" x14ac:dyDescent="0.25">
      <c r="A26" s="155">
        <v>43672</v>
      </c>
      <c r="B26" s="113">
        <v>10.130000000000001</v>
      </c>
      <c r="C26" s="172">
        <v>8.58</v>
      </c>
      <c r="D26" s="173">
        <v>7.92</v>
      </c>
      <c r="E26" s="175">
        <v>25.1</v>
      </c>
      <c r="F26" s="113">
        <v>0.25</v>
      </c>
      <c r="G26" s="181" t="s">
        <v>113</v>
      </c>
      <c r="H26" s="181" t="s">
        <v>113</v>
      </c>
      <c r="I26" s="15">
        <v>13</v>
      </c>
    </row>
    <row r="27" spans="1:9" x14ac:dyDescent="0.25">
      <c r="A27" s="155">
        <v>43672</v>
      </c>
      <c r="B27" s="113">
        <v>10.050000000000001</v>
      </c>
      <c r="C27" s="172">
        <v>8.64</v>
      </c>
      <c r="D27" s="173">
        <v>7.95</v>
      </c>
      <c r="E27" s="175">
        <v>25.1</v>
      </c>
      <c r="F27" s="113">
        <v>0.25</v>
      </c>
      <c r="G27" s="181" t="s">
        <v>113</v>
      </c>
      <c r="H27" s="181" t="s">
        <v>113</v>
      </c>
      <c r="I27" s="15">
        <v>26</v>
      </c>
    </row>
    <row r="28" spans="1:9" x14ac:dyDescent="0.25">
      <c r="A28" s="155">
        <v>43675</v>
      </c>
      <c r="B28" s="113">
        <v>10.6</v>
      </c>
      <c r="C28" s="113">
        <v>7.17</v>
      </c>
      <c r="D28" s="173">
        <v>7.76</v>
      </c>
      <c r="E28" s="175">
        <v>24.8</v>
      </c>
      <c r="F28" s="113">
        <v>0</v>
      </c>
      <c r="G28" s="82">
        <v>120</v>
      </c>
      <c r="H28" s="82">
        <v>300</v>
      </c>
      <c r="I28" s="15">
        <v>5</v>
      </c>
    </row>
    <row r="29" spans="1:9" x14ac:dyDescent="0.25">
      <c r="A29" s="155">
        <v>43675</v>
      </c>
      <c r="B29" s="113">
        <v>10.54</v>
      </c>
      <c r="C29" s="113">
        <v>7.24</v>
      </c>
      <c r="D29" s="173">
        <v>7.72</v>
      </c>
      <c r="E29" s="175">
        <v>25</v>
      </c>
      <c r="F29" s="113">
        <v>0.25</v>
      </c>
      <c r="G29" s="82">
        <v>120</v>
      </c>
      <c r="H29" s="82">
        <v>300</v>
      </c>
      <c r="I29" s="15">
        <v>14</v>
      </c>
    </row>
    <row r="30" spans="1:9" x14ac:dyDescent="0.25">
      <c r="A30" s="155">
        <v>43675</v>
      </c>
      <c r="B30" s="113">
        <v>10.52</v>
      </c>
      <c r="C30" s="113">
        <v>7.22</v>
      </c>
      <c r="D30" s="173">
        <v>7.72</v>
      </c>
      <c r="E30" s="175">
        <v>25.1</v>
      </c>
      <c r="F30" s="113">
        <v>0.25</v>
      </c>
      <c r="G30" s="181">
        <v>120</v>
      </c>
      <c r="H30" s="82">
        <v>300</v>
      </c>
      <c r="I30" s="15">
        <v>27</v>
      </c>
    </row>
    <row r="31" spans="1:9" x14ac:dyDescent="0.25">
      <c r="A31" s="155">
        <v>43677</v>
      </c>
      <c r="B31" s="113">
        <v>10.66</v>
      </c>
      <c r="C31" s="113">
        <v>9.42</v>
      </c>
      <c r="D31" s="173">
        <v>6.85</v>
      </c>
      <c r="E31" s="175">
        <v>22.8</v>
      </c>
      <c r="F31" s="113">
        <v>0.25</v>
      </c>
      <c r="G31" s="181" t="s">
        <v>113</v>
      </c>
      <c r="H31" s="181" t="s">
        <v>113</v>
      </c>
      <c r="I31" s="15">
        <v>6</v>
      </c>
    </row>
    <row r="32" spans="1:9" x14ac:dyDescent="0.25">
      <c r="A32" s="155">
        <v>43677</v>
      </c>
      <c r="B32" s="113">
        <v>10.68</v>
      </c>
      <c r="C32" s="113">
        <v>8.01</v>
      </c>
      <c r="D32" s="173">
        <v>7.76</v>
      </c>
      <c r="E32" s="175">
        <v>25</v>
      </c>
      <c r="F32" s="113">
        <v>0.25</v>
      </c>
      <c r="G32" s="181" t="s">
        <v>113</v>
      </c>
      <c r="H32" s="181" t="s">
        <v>113</v>
      </c>
      <c r="I32" s="15">
        <v>16</v>
      </c>
    </row>
    <row r="33" spans="1:9" x14ac:dyDescent="0.25">
      <c r="A33" s="155">
        <v>43677</v>
      </c>
      <c r="B33" s="113">
        <v>10.73</v>
      </c>
      <c r="C33" s="113">
        <v>8.25</v>
      </c>
      <c r="D33" s="173">
        <v>7.82</v>
      </c>
      <c r="E33" s="175">
        <v>25</v>
      </c>
      <c r="F33" s="113">
        <v>0.25</v>
      </c>
      <c r="G33" s="181" t="s">
        <v>113</v>
      </c>
      <c r="H33" s="181" t="s">
        <v>113</v>
      </c>
      <c r="I33" s="15">
        <v>28</v>
      </c>
    </row>
    <row r="34" spans="1:9" x14ac:dyDescent="0.25">
      <c r="A34" s="155">
        <v>43679</v>
      </c>
      <c r="B34" s="113">
        <v>10.69</v>
      </c>
      <c r="C34" s="113">
        <v>6.56</v>
      </c>
      <c r="D34" s="173">
        <v>6.65</v>
      </c>
      <c r="E34" s="175">
        <v>26.6</v>
      </c>
      <c r="F34" s="113">
        <v>0.25</v>
      </c>
      <c r="G34" s="181" t="s">
        <v>113</v>
      </c>
      <c r="H34" s="181" t="s">
        <v>113</v>
      </c>
      <c r="I34" s="15">
        <v>7</v>
      </c>
    </row>
    <row r="35" spans="1:9" x14ac:dyDescent="0.25">
      <c r="A35" s="155">
        <v>43679</v>
      </c>
      <c r="B35" s="113">
        <v>10.77</v>
      </c>
      <c r="C35" s="113">
        <v>6.69</v>
      </c>
      <c r="D35" s="173">
        <v>7.28</v>
      </c>
      <c r="E35" s="175">
        <v>26.5</v>
      </c>
      <c r="F35" s="113">
        <v>0.25</v>
      </c>
      <c r="G35" s="181" t="s">
        <v>113</v>
      </c>
      <c r="H35" s="181" t="s">
        <v>113</v>
      </c>
      <c r="I35" s="15">
        <v>18</v>
      </c>
    </row>
    <row r="36" spans="1:9" x14ac:dyDescent="0.25">
      <c r="A36" s="155">
        <v>43679</v>
      </c>
      <c r="B36" s="113">
        <v>10.76</v>
      </c>
      <c r="C36" s="113">
        <v>6.81</v>
      </c>
      <c r="D36" s="173">
        <v>7.43</v>
      </c>
      <c r="E36" s="175">
        <v>26.4</v>
      </c>
      <c r="F36" s="113">
        <v>0.25</v>
      </c>
      <c r="G36" s="181" t="s">
        <v>113</v>
      </c>
      <c r="H36" s="181" t="s">
        <v>113</v>
      </c>
      <c r="I36" s="15">
        <v>29</v>
      </c>
    </row>
    <row r="37" spans="1:9" x14ac:dyDescent="0.25">
      <c r="A37" s="155">
        <v>43682</v>
      </c>
      <c r="B37" s="113">
        <v>10.79</v>
      </c>
      <c r="C37" s="113">
        <v>7.25</v>
      </c>
      <c r="D37" s="113">
        <v>7.45</v>
      </c>
      <c r="E37" s="175">
        <v>26.4</v>
      </c>
      <c r="F37" s="113">
        <v>0.25</v>
      </c>
      <c r="G37" s="82">
        <v>180</v>
      </c>
      <c r="H37" s="82">
        <v>300</v>
      </c>
      <c r="I37" s="15">
        <v>9</v>
      </c>
    </row>
    <row r="38" spans="1:9" x14ac:dyDescent="0.25">
      <c r="A38" s="155">
        <v>43682</v>
      </c>
      <c r="B38" s="113">
        <v>10.78</v>
      </c>
      <c r="C38" s="113">
        <v>7.01</v>
      </c>
      <c r="D38" s="113">
        <v>7.49</v>
      </c>
      <c r="E38" s="175">
        <v>26.3</v>
      </c>
      <c r="F38" s="113">
        <v>0.25</v>
      </c>
      <c r="G38" s="82">
        <v>180</v>
      </c>
      <c r="H38" s="82">
        <v>300</v>
      </c>
      <c r="I38" s="15">
        <v>19</v>
      </c>
    </row>
    <row r="39" spans="1:9" x14ac:dyDescent="0.25">
      <c r="A39" s="155">
        <v>43682</v>
      </c>
      <c r="B39" s="113">
        <v>10.95</v>
      </c>
      <c r="C39" s="113">
        <v>7.11</v>
      </c>
      <c r="D39" s="113">
        <v>7.49</v>
      </c>
      <c r="E39" s="175">
        <v>26.1</v>
      </c>
      <c r="F39" s="113">
        <v>0.25</v>
      </c>
      <c r="G39" s="82">
        <v>180</v>
      </c>
      <c r="H39" s="82">
        <v>300</v>
      </c>
      <c r="I39" s="15">
        <v>30</v>
      </c>
    </row>
    <row r="40" spans="1:9" x14ac:dyDescent="0.25">
      <c r="A40" s="155">
        <v>43684</v>
      </c>
      <c r="B40" s="113">
        <v>10.84</v>
      </c>
      <c r="C40" s="113">
        <v>9.11</v>
      </c>
      <c r="D40" s="113">
        <v>7.82</v>
      </c>
      <c r="E40" s="175">
        <v>25.4</v>
      </c>
      <c r="F40" s="113">
        <v>0.25</v>
      </c>
      <c r="G40" s="181" t="s">
        <v>113</v>
      </c>
      <c r="H40" s="181" t="s">
        <v>113</v>
      </c>
      <c r="I40" s="15">
        <v>20</v>
      </c>
    </row>
    <row r="41" spans="1:9" x14ac:dyDescent="0.25">
      <c r="A41" s="155">
        <v>43684</v>
      </c>
      <c r="B41" s="113">
        <v>10.99</v>
      </c>
      <c r="C41" s="113">
        <v>9.56</v>
      </c>
      <c r="D41" s="113">
        <v>7.87</v>
      </c>
      <c r="E41" s="175">
        <v>25.3</v>
      </c>
      <c r="F41" s="113">
        <v>0.25</v>
      </c>
      <c r="G41" s="181" t="s">
        <v>113</v>
      </c>
      <c r="H41" s="181" t="s">
        <v>113</v>
      </c>
      <c r="I41" s="15">
        <v>21</v>
      </c>
    </row>
    <row r="42" spans="1:9" x14ac:dyDescent="0.25">
      <c r="A42" s="155">
        <v>43684</v>
      </c>
      <c r="B42" s="113">
        <v>10.95</v>
      </c>
      <c r="C42" s="113">
        <v>9.35</v>
      </c>
      <c r="D42" s="113">
        <v>7.89</v>
      </c>
      <c r="E42" s="175">
        <v>25.3</v>
      </c>
      <c r="F42" s="113">
        <v>0</v>
      </c>
      <c r="G42" s="181" t="s">
        <v>113</v>
      </c>
      <c r="H42" s="181" t="s">
        <v>113</v>
      </c>
      <c r="I42" s="15">
        <v>31</v>
      </c>
    </row>
    <row r="43" spans="1:9" x14ac:dyDescent="0.25">
      <c r="A43" s="155">
        <v>43686</v>
      </c>
      <c r="B43" s="113">
        <v>10.87</v>
      </c>
      <c r="C43" s="113">
        <v>9.14</v>
      </c>
      <c r="D43" s="113">
        <v>6.71</v>
      </c>
      <c r="E43" s="175">
        <v>25.6</v>
      </c>
      <c r="F43" s="113">
        <v>0</v>
      </c>
      <c r="G43" s="181" t="s">
        <v>113</v>
      </c>
      <c r="H43" s="181" t="s">
        <v>113</v>
      </c>
      <c r="I43" s="15">
        <v>22</v>
      </c>
    </row>
    <row r="44" spans="1:9" x14ac:dyDescent="0.25">
      <c r="A44" s="155">
        <v>43686</v>
      </c>
      <c r="B44" s="113">
        <v>10.85</v>
      </c>
      <c r="C44" s="113">
        <v>8.34</v>
      </c>
      <c r="D44" s="113">
        <v>6.86</v>
      </c>
      <c r="E44" s="175">
        <v>25.6</v>
      </c>
      <c r="F44" s="113">
        <v>0</v>
      </c>
      <c r="G44" s="181" t="s">
        <v>113</v>
      </c>
      <c r="H44" s="181" t="s">
        <v>113</v>
      </c>
      <c r="I44" s="15">
        <v>23</v>
      </c>
    </row>
    <row r="45" spans="1:9" x14ac:dyDescent="0.25">
      <c r="A45" s="155">
        <v>43686</v>
      </c>
      <c r="B45" s="113">
        <v>10.97</v>
      </c>
      <c r="C45" s="113">
        <v>8.91</v>
      </c>
      <c r="D45" s="113">
        <v>6.99</v>
      </c>
      <c r="E45" s="175">
        <v>25.6</v>
      </c>
      <c r="F45" s="113">
        <v>0</v>
      </c>
      <c r="G45" s="181" t="s">
        <v>113</v>
      </c>
      <c r="H45" s="181" t="s">
        <v>113</v>
      </c>
      <c r="I45" s="15">
        <v>32</v>
      </c>
    </row>
    <row r="46" spans="1:9" x14ac:dyDescent="0.25">
      <c r="A46" s="155">
        <v>43689</v>
      </c>
      <c r="B46" s="113">
        <v>10.59</v>
      </c>
      <c r="C46" s="113">
        <v>8.84</v>
      </c>
      <c r="D46" s="113">
        <v>7.57</v>
      </c>
      <c r="E46" s="175">
        <v>26</v>
      </c>
      <c r="F46" s="113">
        <v>0</v>
      </c>
      <c r="G46" s="82">
        <v>180</v>
      </c>
      <c r="H46" s="82">
        <v>300</v>
      </c>
      <c r="I46" s="15">
        <v>33</v>
      </c>
    </row>
    <row r="47" spans="1:9" x14ac:dyDescent="0.25">
      <c r="A47" s="155">
        <v>43689</v>
      </c>
      <c r="B47" s="113">
        <v>10.62</v>
      </c>
      <c r="C47" s="113">
        <v>9.01</v>
      </c>
      <c r="D47" s="113">
        <v>7.6</v>
      </c>
      <c r="E47" s="175">
        <v>25.9</v>
      </c>
      <c r="F47" s="113">
        <v>0</v>
      </c>
      <c r="G47" s="82">
        <v>120</v>
      </c>
      <c r="H47" s="82">
        <v>300</v>
      </c>
      <c r="I47" s="15">
        <v>34</v>
      </c>
    </row>
    <row r="48" spans="1:9" x14ac:dyDescent="0.25">
      <c r="A48" s="155">
        <v>43689</v>
      </c>
      <c r="B48" s="113">
        <v>10.75</v>
      </c>
      <c r="C48" s="113">
        <v>8.4</v>
      </c>
      <c r="D48" s="113">
        <v>7.63</v>
      </c>
      <c r="E48" s="175">
        <v>25.9</v>
      </c>
      <c r="F48" s="113">
        <v>0</v>
      </c>
      <c r="G48" s="181">
        <v>120</v>
      </c>
      <c r="H48" s="82">
        <v>300</v>
      </c>
      <c r="I48" s="15">
        <v>1</v>
      </c>
    </row>
    <row r="49" spans="1:9" x14ac:dyDescent="0.25">
      <c r="A49" s="155">
        <v>43691</v>
      </c>
      <c r="B49" s="113">
        <v>10.31</v>
      </c>
      <c r="C49" s="113">
        <v>9.39</v>
      </c>
      <c r="D49" s="113">
        <v>7.8</v>
      </c>
      <c r="E49" s="175">
        <v>25.5</v>
      </c>
      <c r="F49" s="113">
        <v>0.5</v>
      </c>
      <c r="G49" s="181" t="s">
        <v>113</v>
      </c>
      <c r="H49" s="181" t="s">
        <v>113</v>
      </c>
      <c r="I49" s="15">
        <v>10</v>
      </c>
    </row>
    <row r="50" spans="1:9" x14ac:dyDescent="0.25">
      <c r="A50" s="155">
        <v>43691</v>
      </c>
      <c r="B50" s="113">
        <v>10.55</v>
      </c>
      <c r="C50" s="113">
        <v>8.6199999999999992</v>
      </c>
      <c r="D50" s="113">
        <v>7.8</v>
      </c>
      <c r="E50" s="175">
        <v>25.3</v>
      </c>
      <c r="F50" s="113">
        <v>0.25</v>
      </c>
      <c r="G50" s="181" t="s">
        <v>113</v>
      </c>
      <c r="H50" s="181" t="s">
        <v>113</v>
      </c>
      <c r="I50" s="15">
        <v>25</v>
      </c>
    </row>
    <row r="51" spans="1:9" x14ac:dyDescent="0.25">
      <c r="A51" s="155">
        <v>43691</v>
      </c>
      <c r="B51" s="113">
        <v>10.64</v>
      </c>
      <c r="C51" s="113">
        <v>9.01</v>
      </c>
      <c r="D51" s="113">
        <v>7.8</v>
      </c>
      <c r="E51" s="175">
        <v>25.2</v>
      </c>
      <c r="F51" s="113">
        <v>0</v>
      </c>
      <c r="G51" s="181" t="s">
        <v>113</v>
      </c>
      <c r="H51" s="181" t="s">
        <v>113</v>
      </c>
      <c r="I51" s="15">
        <v>2</v>
      </c>
    </row>
    <row r="52" spans="1:9" x14ac:dyDescent="0.25">
      <c r="A52" s="155">
        <v>43693</v>
      </c>
      <c r="B52" s="113">
        <v>10.82</v>
      </c>
      <c r="C52" s="113">
        <v>8.08</v>
      </c>
      <c r="D52" s="113">
        <v>7.48</v>
      </c>
      <c r="E52" s="175">
        <v>25</v>
      </c>
      <c r="F52" s="113">
        <v>0</v>
      </c>
      <c r="G52" s="181" t="s">
        <v>113</v>
      </c>
      <c r="H52" s="181" t="s">
        <v>113</v>
      </c>
      <c r="I52" s="15">
        <v>11</v>
      </c>
    </row>
    <row r="53" spans="1:9" x14ac:dyDescent="0.25">
      <c r="A53" s="155">
        <v>43693</v>
      </c>
      <c r="B53" s="113">
        <v>10.74</v>
      </c>
      <c r="C53" s="113">
        <v>8.07</v>
      </c>
      <c r="D53" s="113">
        <v>7.57</v>
      </c>
      <c r="E53" s="175">
        <v>25</v>
      </c>
      <c r="F53" s="113">
        <v>0</v>
      </c>
      <c r="G53" s="181" t="s">
        <v>113</v>
      </c>
      <c r="H53" s="181" t="s">
        <v>113</v>
      </c>
      <c r="I53" s="15">
        <v>16</v>
      </c>
    </row>
    <row r="54" spans="1:9" x14ac:dyDescent="0.25">
      <c r="A54" s="155">
        <v>43693</v>
      </c>
      <c r="B54" s="113">
        <v>10.79</v>
      </c>
      <c r="C54" s="113">
        <v>8.15</v>
      </c>
      <c r="D54" s="113">
        <v>7.63</v>
      </c>
      <c r="E54" s="175">
        <v>25.2</v>
      </c>
      <c r="F54" s="113">
        <v>0</v>
      </c>
      <c r="G54" s="181" t="s">
        <v>113</v>
      </c>
      <c r="H54" s="181" t="s">
        <v>113</v>
      </c>
      <c r="I54" s="15">
        <v>3</v>
      </c>
    </row>
    <row r="55" spans="1:9" x14ac:dyDescent="0.25">
      <c r="A55" s="155">
        <v>43696</v>
      </c>
      <c r="B55" s="113">
        <v>10.02</v>
      </c>
      <c r="C55" s="113">
        <v>7.54</v>
      </c>
      <c r="D55" s="113">
        <v>7.75</v>
      </c>
      <c r="E55" s="175">
        <v>26.1</v>
      </c>
      <c r="F55" s="113">
        <v>0.25</v>
      </c>
      <c r="G55" s="82">
        <v>120</v>
      </c>
      <c r="H55" s="82">
        <v>300</v>
      </c>
      <c r="I55" s="15">
        <v>12</v>
      </c>
    </row>
    <row r="56" spans="1:9" x14ac:dyDescent="0.25">
      <c r="A56" s="155">
        <v>43696</v>
      </c>
      <c r="B56" s="113">
        <v>9.9700000000000006</v>
      </c>
      <c r="C56" s="113">
        <v>7.5</v>
      </c>
      <c r="D56" s="113">
        <v>7.79</v>
      </c>
      <c r="E56" s="175">
        <v>26</v>
      </c>
      <c r="F56" s="113">
        <v>0.25</v>
      </c>
      <c r="G56" s="181">
        <v>120</v>
      </c>
      <c r="H56" s="82">
        <v>300</v>
      </c>
      <c r="I56" s="15">
        <v>27</v>
      </c>
    </row>
    <row r="57" spans="1:9" x14ac:dyDescent="0.25">
      <c r="A57" s="155">
        <v>43696</v>
      </c>
      <c r="B57" s="113">
        <v>10.01</v>
      </c>
      <c r="C57" s="113">
        <v>7.68</v>
      </c>
      <c r="D57" s="113">
        <v>7.79</v>
      </c>
      <c r="E57" s="175">
        <v>26</v>
      </c>
      <c r="F57" s="113">
        <v>0.254</v>
      </c>
      <c r="G57" s="82">
        <v>120</v>
      </c>
      <c r="H57" s="82">
        <v>300</v>
      </c>
      <c r="I57" s="15">
        <v>4</v>
      </c>
    </row>
    <row r="58" spans="1:9" x14ac:dyDescent="0.25">
      <c r="A58" s="155">
        <v>43699</v>
      </c>
      <c r="B58" s="113">
        <v>9.9499999999999993</v>
      </c>
      <c r="C58" s="113">
        <v>7.93</v>
      </c>
      <c r="D58" s="113">
        <v>7.94</v>
      </c>
      <c r="E58" s="175">
        <v>22.9</v>
      </c>
      <c r="F58" s="113">
        <v>0.25</v>
      </c>
      <c r="G58" s="181" t="s">
        <v>113</v>
      </c>
      <c r="H58" s="181" t="s">
        <v>113</v>
      </c>
      <c r="I58" s="15">
        <v>13</v>
      </c>
    </row>
    <row r="59" spans="1:9" x14ac:dyDescent="0.25">
      <c r="A59" s="155">
        <v>43699</v>
      </c>
      <c r="B59" s="113">
        <v>10</v>
      </c>
      <c r="C59" s="113">
        <v>7.25</v>
      </c>
      <c r="D59" s="113">
        <v>7.95</v>
      </c>
      <c r="E59" s="175">
        <v>23</v>
      </c>
      <c r="F59" s="113">
        <v>0.25</v>
      </c>
      <c r="G59" s="181" t="s">
        <v>113</v>
      </c>
      <c r="H59" s="181" t="s">
        <v>113</v>
      </c>
      <c r="I59" s="15">
        <v>28</v>
      </c>
    </row>
    <row r="60" spans="1:9" x14ac:dyDescent="0.25">
      <c r="A60" s="155">
        <v>43699</v>
      </c>
      <c r="B60" s="113">
        <v>9.84</v>
      </c>
      <c r="C60" s="113">
        <v>7.85</v>
      </c>
      <c r="D60" s="113">
        <v>7.95</v>
      </c>
      <c r="E60" s="175">
        <v>22.9</v>
      </c>
      <c r="F60" s="113">
        <v>0.25</v>
      </c>
      <c r="G60" s="181" t="s">
        <v>113</v>
      </c>
      <c r="H60" s="181" t="s">
        <v>113</v>
      </c>
      <c r="I60" s="15">
        <v>5</v>
      </c>
    </row>
    <row r="61" spans="1:9" x14ac:dyDescent="0.25">
      <c r="A61" s="155">
        <v>43700</v>
      </c>
      <c r="B61" s="113">
        <v>9.9499999999999993</v>
      </c>
      <c r="C61" s="113">
        <v>8.14</v>
      </c>
      <c r="D61" s="113">
        <v>7.76</v>
      </c>
      <c r="E61" s="175">
        <v>23</v>
      </c>
      <c r="F61" s="113">
        <v>0.5</v>
      </c>
      <c r="G61" s="181" t="s">
        <v>113</v>
      </c>
      <c r="H61" s="181" t="s">
        <v>113</v>
      </c>
      <c r="I61" s="15">
        <v>14</v>
      </c>
    </row>
    <row r="62" spans="1:9" x14ac:dyDescent="0.25">
      <c r="A62" s="155">
        <v>43700</v>
      </c>
      <c r="B62" s="113">
        <v>9.89</v>
      </c>
      <c r="C62" s="113">
        <v>8.42</v>
      </c>
      <c r="D62" s="113">
        <v>7.86</v>
      </c>
      <c r="E62" s="175">
        <v>23</v>
      </c>
      <c r="F62" s="113">
        <v>0.25</v>
      </c>
      <c r="G62" s="181" t="s">
        <v>113</v>
      </c>
      <c r="H62" s="181" t="s">
        <v>113</v>
      </c>
      <c r="I62" s="15">
        <v>29</v>
      </c>
    </row>
    <row r="63" spans="1:9" x14ac:dyDescent="0.25">
      <c r="A63" s="155">
        <v>43700</v>
      </c>
      <c r="B63" s="113">
        <v>10.029999999999999</v>
      </c>
      <c r="C63" s="113">
        <v>8.36</v>
      </c>
      <c r="D63" s="113">
        <v>7.9</v>
      </c>
      <c r="E63" s="175">
        <v>23</v>
      </c>
      <c r="F63" s="113">
        <v>0.25</v>
      </c>
      <c r="G63" s="181" t="s">
        <v>113</v>
      </c>
      <c r="H63" s="181" t="s">
        <v>113</v>
      </c>
      <c r="I63" s="15">
        <v>6</v>
      </c>
    </row>
    <row r="64" spans="1:9" x14ac:dyDescent="0.25">
      <c r="A64" s="155">
        <v>43703</v>
      </c>
      <c r="B64" s="113">
        <v>9.9</v>
      </c>
      <c r="C64" s="113">
        <v>11.73</v>
      </c>
      <c r="D64" s="113">
        <v>7.8</v>
      </c>
      <c r="E64" s="175">
        <v>25</v>
      </c>
      <c r="F64" s="113">
        <v>0</v>
      </c>
      <c r="G64" s="82">
        <v>120</v>
      </c>
      <c r="H64" s="82">
        <v>300</v>
      </c>
      <c r="I64" s="15">
        <v>15</v>
      </c>
    </row>
    <row r="65" spans="1:9" x14ac:dyDescent="0.25">
      <c r="A65" s="155">
        <v>43703</v>
      </c>
      <c r="B65" s="113">
        <v>9.9600000000000009</v>
      </c>
      <c r="C65" s="113">
        <v>11.12</v>
      </c>
      <c r="D65" s="113">
        <v>7.8</v>
      </c>
      <c r="E65" s="175">
        <v>24.9</v>
      </c>
      <c r="F65" s="113">
        <v>0.5</v>
      </c>
      <c r="G65" s="82">
        <v>120</v>
      </c>
      <c r="H65" s="82">
        <v>300</v>
      </c>
      <c r="I65" s="15">
        <v>30</v>
      </c>
    </row>
    <row r="66" spans="1:9" x14ac:dyDescent="0.25">
      <c r="A66" s="155">
        <v>43703</v>
      </c>
      <c r="B66" s="113">
        <v>10</v>
      </c>
      <c r="C66" s="113">
        <v>10.73</v>
      </c>
      <c r="D66" s="113">
        <v>7.8</v>
      </c>
      <c r="E66" s="175">
        <v>25</v>
      </c>
      <c r="F66" s="113">
        <v>0.25</v>
      </c>
      <c r="G66" s="82">
        <v>120</v>
      </c>
      <c r="H66" s="82">
        <v>300</v>
      </c>
      <c r="I66" s="15">
        <v>7</v>
      </c>
    </row>
    <row r="67" spans="1:9" x14ac:dyDescent="0.25">
      <c r="A67" s="156" t="s">
        <v>111</v>
      </c>
      <c r="B67" s="58">
        <f t="shared" ref="B67:H67" si="4">AVERAGE(B13:B66)</f>
        <v>10.16462962962963</v>
      </c>
      <c r="C67" s="58">
        <f t="shared" si="4"/>
        <v>8.1349999999999998</v>
      </c>
      <c r="D67" s="58">
        <f t="shared" si="4"/>
        <v>7.5074074074074089</v>
      </c>
      <c r="E67" s="177">
        <f t="shared" si="4"/>
        <v>25.19444444444445</v>
      </c>
      <c r="F67" s="58">
        <f t="shared" si="4"/>
        <v>0.2593333333333333</v>
      </c>
      <c r="G67" s="182">
        <f t="shared" si="4"/>
        <v>125.71428571428571</v>
      </c>
      <c r="H67" s="182">
        <f t="shared" si="4"/>
        <v>300</v>
      </c>
      <c r="I67" s="44"/>
    </row>
    <row r="68" spans="1:9" x14ac:dyDescent="0.25">
      <c r="A68" s="156" t="s">
        <v>112</v>
      </c>
      <c r="B68" s="58">
        <f t="shared" ref="B68:H68" si="5">_xlfn.STDEV.S(B13:B66)</f>
        <v>0.72987389182888629</v>
      </c>
      <c r="C68" s="58">
        <f t="shared" si="5"/>
        <v>1.1327704391996338</v>
      </c>
      <c r="D68" s="58">
        <f t="shared" si="5"/>
        <v>0.40705191910830663</v>
      </c>
      <c r="E68" s="177">
        <f t="shared" si="5"/>
        <v>1.0411199823315576</v>
      </c>
      <c r="F68" s="58">
        <f t="shared" si="5"/>
        <v>0.25217214844790098</v>
      </c>
      <c r="G68" s="182">
        <f t="shared" si="5"/>
        <v>30.425553170226618</v>
      </c>
      <c r="H68" s="182">
        <f t="shared" si="5"/>
        <v>0</v>
      </c>
      <c r="I68" s="44"/>
    </row>
    <row r="69" spans="1:9" x14ac:dyDescent="0.25">
      <c r="A69" s="156" t="s">
        <v>114</v>
      </c>
      <c r="B69" s="58">
        <f t="shared" ref="B69:H69" si="6">MIN(B13:B66)</f>
        <v>8.08</v>
      </c>
      <c r="C69" s="58">
        <f t="shared" si="6"/>
        <v>6.4</v>
      </c>
      <c r="D69" s="58">
        <f t="shared" si="6"/>
        <v>6.55</v>
      </c>
      <c r="E69" s="177">
        <f t="shared" si="6"/>
        <v>22.8</v>
      </c>
      <c r="F69" s="58">
        <f t="shared" si="6"/>
        <v>0</v>
      </c>
      <c r="G69" s="182">
        <f t="shared" si="6"/>
        <v>80</v>
      </c>
      <c r="H69" s="182">
        <f t="shared" si="6"/>
        <v>300</v>
      </c>
      <c r="I69" s="44"/>
    </row>
    <row r="70" spans="1:9" ht="15.75" thickBot="1" x14ac:dyDescent="0.3">
      <c r="A70" s="157" t="s">
        <v>115</v>
      </c>
      <c r="B70" s="112">
        <f t="shared" ref="B70:H70" si="7">MAX(B13:B66)</f>
        <v>10.99</v>
      </c>
      <c r="C70" s="112">
        <f t="shared" si="7"/>
        <v>11.73</v>
      </c>
      <c r="D70" s="112">
        <f t="shared" si="7"/>
        <v>7.95</v>
      </c>
      <c r="E70" s="178">
        <f t="shared" si="7"/>
        <v>26.6</v>
      </c>
      <c r="F70" s="112">
        <f t="shared" si="7"/>
        <v>1</v>
      </c>
      <c r="G70" s="183">
        <f t="shared" si="7"/>
        <v>180</v>
      </c>
      <c r="H70" s="183">
        <f t="shared" si="7"/>
        <v>300</v>
      </c>
      <c r="I70" s="158"/>
    </row>
    <row r="71" spans="1:9" x14ac:dyDescent="0.25">
      <c r="A71" s="238" t="s">
        <v>40</v>
      </c>
      <c r="B71" s="239"/>
      <c r="C71" s="239"/>
      <c r="D71" s="239"/>
      <c r="E71" s="239"/>
      <c r="F71" s="239"/>
      <c r="G71" s="239"/>
      <c r="H71" s="240"/>
      <c r="I71" s="99"/>
    </row>
    <row r="72" spans="1:9" ht="30" x14ac:dyDescent="0.25">
      <c r="A72" s="12" t="s">
        <v>63</v>
      </c>
      <c r="B72" s="120" t="s">
        <v>117</v>
      </c>
      <c r="C72" s="120" t="s">
        <v>106</v>
      </c>
      <c r="D72" s="120" t="s">
        <v>107</v>
      </c>
      <c r="E72" s="174" t="s">
        <v>119</v>
      </c>
      <c r="F72" s="120" t="s">
        <v>108</v>
      </c>
      <c r="G72" s="180" t="s">
        <v>109</v>
      </c>
      <c r="H72" s="185" t="s">
        <v>110</v>
      </c>
      <c r="I72" s="27"/>
    </row>
    <row r="73" spans="1:9" x14ac:dyDescent="0.25">
      <c r="A73" s="155">
        <v>43699</v>
      </c>
      <c r="B73" s="113">
        <v>9.0399999999999991</v>
      </c>
      <c r="C73" s="113">
        <v>9.31</v>
      </c>
      <c r="D73" s="113">
        <v>8.01</v>
      </c>
      <c r="E73" s="175">
        <v>21.1</v>
      </c>
      <c r="F73" s="113">
        <v>0.25</v>
      </c>
      <c r="G73" s="82">
        <v>120</v>
      </c>
      <c r="H73" s="188">
        <v>300</v>
      </c>
    </row>
    <row r="74" spans="1:9" x14ac:dyDescent="0.25">
      <c r="A74" s="155">
        <v>43700</v>
      </c>
      <c r="B74" s="113">
        <v>9.49</v>
      </c>
      <c r="C74" s="113">
        <v>9.83</v>
      </c>
      <c r="D74" s="113">
        <v>7.98</v>
      </c>
      <c r="E74" s="175">
        <v>20.7</v>
      </c>
      <c r="F74" s="113">
        <v>0</v>
      </c>
      <c r="G74" s="181" t="s">
        <v>113</v>
      </c>
      <c r="H74" s="186" t="s">
        <v>113</v>
      </c>
    </row>
    <row r="75" spans="1:9" x14ac:dyDescent="0.25">
      <c r="A75" s="155">
        <v>43703</v>
      </c>
      <c r="B75" s="113">
        <v>9.8000000000000007</v>
      </c>
      <c r="C75" s="113">
        <v>12.17</v>
      </c>
      <c r="D75" s="113">
        <v>7.8</v>
      </c>
      <c r="E75" s="175">
        <v>25</v>
      </c>
      <c r="F75" s="113">
        <v>0.25</v>
      </c>
      <c r="G75" s="82">
        <v>120</v>
      </c>
      <c r="H75" s="188">
        <v>300</v>
      </c>
    </row>
    <row r="76" spans="1:9" x14ac:dyDescent="0.25">
      <c r="A76" s="155">
        <v>43706</v>
      </c>
      <c r="B76" s="113">
        <v>10.220000000000001</v>
      </c>
      <c r="C76" s="113">
        <v>8.4</v>
      </c>
      <c r="D76" s="113">
        <v>7.97</v>
      </c>
      <c r="E76" s="175">
        <v>21.2</v>
      </c>
      <c r="F76" s="113">
        <v>0.25</v>
      </c>
      <c r="G76" s="181" t="s">
        <v>113</v>
      </c>
      <c r="H76" s="186" t="s">
        <v>113</v>
      </c>
    </row>
    <row r="77" spans="1:9" x14ac:dyDescent="0.25">
      <c r="A77" s="155">
        <v>43707</v>
      </c>
      <c r="B77" s="113">
        <v>10.86</v>
      </c>
      <c r="C77" s="113">
        <v>8.01</v>
      </c>
      <c r="D77" s="113">
        <v>7.01</v>
      </c>
      <c r="E77" s="175">
        <v>21.6</v>
      </c>
      <c r="F77" s="113">
        <v>0.5</v>
      </c>
      <c r="G77" s="181" t="s">
        <v>113</v>
      </c>
      <c r="H77" s="186" t="s">
        <v>113</v>
      </c>
    </row>
    <row r="78" spans="1:9" x14ac:dyDescent="0.25">
      <c r="A78" s="155">
        <v>43711</v>
      </c>
      <c r="B78" s="113">
        <v>10.77</v>
      </c>
      <c r="C78" s="113">
        <v>7.64</v>
      </c>
      <c r="D78" s="113">
        <v>8.0299999999999994</v>
      </c>
      <c r="E78" s="175">
        <v>21.5</v>
      </c>
      <c r="F78" s="113">
        <v>1</v>
      </c>
      <c r="G78" s="82">
        <v>80</v>
      </c>
      <c r="H78" s="188">
        <v>425</v>
      </c>
    </row>
    <row r="79" spans="1:9" x14ac:dyDescent="0.25">
      <c r="A79" s="155">
        <v>43712</v>
      </c>
      <c r="B79" s="113">
        <v>9.9700000000000006</v>
      </c>
      <c r="C79" s="113">
        <v>8.48</v>
      </c>
      <c r="D79" s="113">
        <v>7.97</v>
      </c>
      <c r="E79" s="175">
        <v>21.2</v>
      </c>
      <c r="F79" s="113">
        <v>0.5</v>
      </c>
      <c r="G79" s="181" t="s">
        <v>113</v>
      </c>
      <c r="H79" s="186" t="s">
        <v>113</v>
      </c>
    </row>
    <row r="80" spans="1:9" x14ac:dyDescent="0.25">
      <c r="A80" s="155">
        <v>43714</v>
      </c>
      <c r="B80" s="113">
        <v>10.66</v>
      </c>
      <c r="C80" s="113">
        <v>7.6</v>
      </c>
      <c r="D80" s="113">
        <v>8.0299999999999994</v>
      </c>
      <c r="E80" s="175">
        <v>23.6</v>
      </c>
      <c r="F80" s="113">
        <v>0.5</v>
      </c>
      <c r="G80" s="181" t="s">
        <v>113</v>
      </c>
      <c r="H80" s="186" t="s">
        <v>113</v>
      </c>
    </row>
    <row r="81" spans="1:8" x14ac:dyDescent="0.25">
      <c r="A81" s="155">
        <v>43717</v>
      </c>
      <c r="B81" s="113">
        <v>10.56</v>
      </c>
      <c r="C81" s="113">
        <v>8.66</v>
      </c>
      <c r="D81" s="113">
        <v>8.0500000000000007</v>
      </c>
      <c r="E81" s="175">
        <v>21.3</v>
      </c>
      <c r="F81" s="113">
        <v>0.5</v>
      </c>
      <c r="G81" s="82">
        <v>80</v>
      </c>
      <c r="H81" s="188">
        <v>425</v>
      </c>
    </row>
    <row r="82" spans="1:8" x14ac:dyDescent="0.25">
      <c r="A82" s="155">
        <v>43719</v>
      </c>
      <c r="B82" s="113">
        <v>11.4</v>
      </c>
      <c r="C82" s="113">
        <v>8.1199999999999992</v>
      </c>
      <c r="D82" s="113">
        <v>8</v>
      </c>
      <c r="E82" s="175">
        <v>21.9</v>
      </c>
      <c r="F82" s="113">
        <v>0.5</v>
      </c>
      <c r="G82" s="181" t="s">
        <v>113</v>
      </c>
      <c r="H82" s="186" t="s">
        <v>113</v>
      </c>
    </row>
    <row r="83" spans="1:8" x14ac:dyDescent="0.25">
      <c r="A83" s="155">
        <v>43721</v>
      </c>
      <c r="B83" s="113">
        <v>11.79</v>
      </c>
      <c r="C83" s="113">
        <v>7.68</v>
      </c>
      <c r="D83" s="113">
        <v>7.99</v>
      </c>
      <c r="E83" s="175">
        <v>23.5</v>
      </c>
      <c r="F83" s="113">
        <v>0.25</v>
      </c>
      <c r="G83" s="181" t="s">
        <v>113</v>
      </c>
      <c r="H83" s="186" t="s">
        <v>113</v>
      </c>
    </row>
    <row r="84" spans="1:8" x14ac:dyDescent="0.25">
      <c r="A84" s="155">
        <v>43724</v>
      </c>
      <c r="B84" s="113">
        <v>12.07</v>
      </c>
      <c r="C84" s="113">
        <v>8.2100000000000009</v>
      </c>
      <c r="D84" s="113">
        <v>8.1300000000000008</v>
      </c>
      <c r="E84" s="175">
        <v>21.4</v>
      </c>
      <c r="F84" s="113">
        <v>0.25</v>
      </c>
      <c r="G84" s="82">
        <v>80</v>
      </c>
      <c r="H84" s="188">
        <v>425</v>
      </c>
    </row>
    <row r="85" spans="1:8" x14ac:dyDescent="0.25">
      <c r="A85" s="156" t="s">
        <v>111</v>
      </c>
      <c r="B85" s="58">
        <f t="shared" ref="B85:H85" si="8">AVERAGE(B73:B84)</f>
        <v>10.5525</v>
      </c>
      <c r="C85" s="58">
        <f t="shared" si="8"/>
        <v>8.6758333333333351</v>
      </c>
      <c r="D85" s="58">
        <f t="shared" si="8"/>
        <v>7.9141666666666657</v>
      </c>
      <c r="E85" s="177">
        <f t="shared" si="8"/>
        <v>22</v>
      </c>
      <c r="F85" s="58">
        <f t="shared" si="8"/>
        <v>0.39583333333333331</v>
      </c>
      <c r="G85" s="182">
        <f t="shared" si="8"/>
        <v>96</v>
      </c>
      <c r="H85" s="187">
        <f t="shared" si="8"/>
        <v>375</v>
      </c>
    </row>
    <row r="86" spans="1:8" x14ac:dyDescent="0.25">
      <c r="A86" s="156" t="s">
        <v>112</v>
      </c>
      <c r="B86" s="58">
        <f t="shared" ref="B86:H86" si="9">_xlfn.STDEV.S(B73:B84)</f>
        <v>0.91147358212352536</v>
      </c>
      <c r="C86" s="58">
        <f t="shared" si="9"/>
        <v>1.2880390898453622</v>
      </c>
      <c r="D86" s="58">
        <f t="shared" si="9"/>
        <v>0.29469424319062804</v>
      </c>
      <c r="E86" s="177">
        <f t="shared" si="9"/>
        <v>1.3094065276091513</v>
      </c>
      <c r="F86" s="58">
        <f t="shared" si="9"/>
        <v>0.2490512299739055</v>
      </c>
      <c r="G86" s="182">
        <f t="shared" si="9"/>
        <v>21.908902300206645</v>
      </c>
      <c r="H86" s="187">
        <f t="shared" si="9"/>
        <v>68.465319688145769</v>
      </c>
    </row>
    <row r="87" spans="1:8" x14ac:dyDescent="0.25">
      <c r="A87" s="156" t="s">
        <v>114</v>
      </c>
      <c r="B87" s="58">
        <f t="shared" ref="B87:H87" si="10">MIN(B73:B84)</f>
        <v>9.0399999999999991</v>
      </c>
      <c r="C87" s="58">
        <f t="shared" si="10"/>
        <v>7.6</v>
      </c>
      <c r="D87" s="58">
        <f t="shared" si="10"/>
        <v>7.01</v>
      </c>
      <c r="E87" s="177">
        <f t="shared" si="10"/>
        <v>20.7</v>
      </c>
      <c r="F87" s="58">
        <f t="shared" si="10"/>
        <v>0</v>
      </c>
      <c r="G87" s="182">
        <f t="shared" si="10"/>
        <v>80</v>
      </c>
      <c r="H87" s="187">
        <f t="shared" si="10"/>
        <v>300</v>
      </c>
    </row>
    <row r="88" spans="1:8" ht="15.75" thickBot="1" x14ac:dyDescent="0.3">
      <c r="A88" s="157" t="s">
        <v>115</v>
      </c>
      <c r="B88" s="112">
        <f t="shared" ref="B88:H88" si="11">MAX(B73:B84)</f>
        <v>12.07</v>
      </c>
      <c r="C88" s="112">
        <f t="shared" si="11"/>
        <v>12.17</v>
      </c>
      <c r="D88" s="112">
        <f t="shared" si="11"/>
        <v>8.1300000000000008</v>
      </c>
      <c r="E88" s="178">
        <f t="shared" si="11"/>
        <v>25</v>
      </c>
      <c r="F88" s="112">
        <f t="shared" si="11"/>
        <v>1</v>
      </c>
      <c r="G88" s="183">
        <f t="shared" si="11"/>
        <v>120</v>
      </c>
      <c r="H88" s="189">
        <f t="shared" si="11"/>
        <v>425</v>
      </c>
    </row>
    <row r="89" spans="1:8" x14ac:dyDescent="0.25">
      <c r="A89" s="238" t="s">
        <v>39</v>
      </c>
      <c r="B89" s="239"/>
      <c r="C89" s="239"/>
      <c r="D89" s="239"/>
      <c r="E89" s="239"/>
      <c r="F89" s="239"/>
      <c r="G89" s="239"/>
      <c r="H89" s="240"/>
    </row>
    <row r="90" spans="1:8" ht="30" x14ac:dyDescent="0.25">
      <c r="A90" s="12" t="s">
        <v>63</v>
      </c>
      <c r="B90" s="120" t="s">
        <v>117</v>
      </c>
      <c r="C90" s="120" t="s">
        <v>106</v>
      </c>
      <c r="D90" s="120" t="s">
        <v>107</v>
      </c>
      <c r="E90" s="174" t="s">
        <v>119</v>
      </c>
      <c r="F90" s="120" t="s">
        <v>108</v>
      </c>
      <c r="G90" s="180" t="s">
        <v>109</v>
      </c>
      <c r="H90" s="185" t="s">
        <v>110</v>
      </c>
    </row>
    <row r="91" spans="1:8" x14ac:dyDescent="0.25">
      <c r="A91" s="155">
        <v>43705</v>
      </c>
      <c r="B91" s="113">
        <v>9.59</v>
      </c>
      <c r="C91" s="113">
        <v>8.44</v>
      </c>
      <c r="D91" s="113">
        <v>8.1</v>
      </c>
      <c r="E91" s="175">
        <v>21.2</v>
      </c>
      <c r="F91" s="113">
        <v>0</v>
      </c>
      <c r="G91" s="82">
        <v>180</v>
      </c>
      <c r="H91" s="188">
        <v>300</v>
      </c>
    </row>
    <row r="92" spans="1:8" x14ac:dyDescent="0.25">
      <c r="A92" s="155">
        <v>43707</v>
      </c>
      <c r="B92" s="113">
        <v>10.85</v>
      </c>
      <c r="C92" s="113">
        <v>8.1999999999999993</v>
      </c>
      <c r="D92" s="113">
        <v>8.1</v>
      </c>
      <c r="E92" s="175">
        <v>21.7</v>
      </c>
      <c r="F92" s="113">
        <v>0.25</v>
      </c>
      <c r="G92" s="181" t="s">
        <v>113</v>
      </c>
      <c r="H92" s="186" t="s">
        <v>113</v>
      </c>
    </row>
    <row r="93" spans="1:8" x14ac:dyDescent="0.25">
      <c r="A93" s="155">
        <v>43711</v>
      </c>
      <c r="B93" s="113">
        <v>10.67</v>
      </c>
      <c r="C93" s="113">
        <v>7.52</v>
      </c>
      <c r="D93" s="113">
        <v>8.07</v>
      </c>
      <c r="E93" s="175">
        <v>21.7</v>
      </c>
      <c r="F93" s="113">
        <v>0.5</v>
      </c>
      <c r="G93" s="82">
        <v>80</v>
      </c>
      <c r="H93" s="188">
        <v>425</v>
      </c>
    </row>
    <row r="94" spans="1:8" x14ac:dyDescent="0.25">
      <c r="A94" s="155">
        <v>43712</v>
      </c>
      <c r="B94" s="113">
        <v>9.86</v>
      </c>
      <c r="C94" s="113">
        <v>8.24</v>
      </c>
      <c r="D94" s="113">
        <v>7.99</v>
      </c>
      <c r="E94" s="175">
        <v>21.8</v>
      </c>
      <c r="F94" s="113">
        <v>0.25</v>
      </c>
      <c r="G94" s="181" t="s">
        <v>113</v>
      </c>
      <c r="H94" s="186" t="s">
        <v>113</v>
      </c>
    </row>
    <row r="95" spans="1:8" x14ac:dyDescent="0.25">
      <c r="A95" s="155">
        <v>43714</v>
      </c>
      <c r="B95" s="113">
        <v>10.26</v>
      </c>
      <c r="C95" s="113">
        <v>7.54</v>
      </c>
      <c r="D95" s="113">
        <v>7.99</v>
      </c>
      <c r="E95" s="175">
        <v>23.8</v>
      </c>
      <c r="F95" s="113">
        <v>0.25</v>
      </c>
      <c r="G95" s="181" t="s">
        <v>113</v>
      </c>
      <c r="H95" s="186" t="s">
        <v>113</v>
      </c>
    </row>
    <row r="96" spans="1:8" x14ac:dyDescent="0.25">
      <c r="A96" s="155">
        <v>43717</v>
      </c>
      <c r="B96" s="113">
        <v>10.36</v>
      </c>
      <c r="C96" s="113">
        <v>8.65</v>
      </c>
      <c r="D96" s="113">
        <v>8.07</v>
      </c>
      <c r="E96" s="175">
        <v>21.4</v>
      </c>
      <c r="F96" s="113">
        <v>0.5</v>
      </c>
      <c r="G96" s="82">
        <v>80</v>
      </c>
      <c r="H96" s="188">
        <v>425</v>
      </c>
    </row>
    <row r="97" spans="1:8" x14ac:dyDescent="0.25">
      <c r="A97" s="155">
        <v>43719</v>
      </c>
      <c r="B97" s="113">
        <v>11.29</v>
      </c>
      <c r="C97" s="113">
        <v>8.25</v>
      </c>
      <c r="D97" s="113">
        <v>8.01</v>
      </c>
      <c r="E97" s="175">
        <v>21.9</v>
      </c>
      <c r="F97" s="113">
        <v>1</v>
      </c>
      <c r="G97" s="181" t="s">
        <v>113</v>
      </c>
      <c r="H97" s="186" t="s">
        <v>113</v>
      </c>
    </row>
    <row r="98" spans="1:8" x14ac:dyDescent="0.25">
      <c r="A98" s="155">
        <v>43721</v>
      </c>
      <c r="B98" s="113">
        <v>12.08</v>
      </c>
      <c r="C98" s="113">
        <v>7.57</v>
      </c>
      <c r="D98" s="113">
        <v>8.0500000000000007</v>
      </c>
      <c r="E98" s="175">
        <v>23.7</v>
      </c>
      <c r="F98" s="113">
        <v>0.5</v>
      </c>
      <c r="G98" s="181" t="s">
        <v>113</v>
      </c>
      <c r="H98" s="186" t="s">
        <v>113</v>
      </c>
    </row>
    <row r="99" spans="1:8" x14ac:dyDescent="0.25">
      <c r="A99" s="155">
        <v>43724</v>
      </c>
      <c r="B99" s="113">
        <v>12.06</v>
      </c>
      <c r="C99" s="113">
        <v>8.49</v>
      </c>
      <c r="D99" s="113">
        <v>8.16</v>
      </c>
      <c r="E99" s="175">
        <v>21.5</v>
      </c>
      <c r="F99" s="113">
        <v>0.5</v>
      </c>
      <c r="G99" s="82">
        <v>80</v>
      </c>
      <c r="H99" s="188">
        <v>425</v>
      </c>
    </row>
    <row r="100" spans="1:8" x14ac:dyDescent="0.25">
      <c r="A100" s="155">
        <v>43726</v>
      </c>
      <c r="B100" s="113">
        <v>11.58</v>
      </c>
      <c r="C100" s="113">
        <v>8.5299999999999994</v>
      </c>
      <c r="D100" s="113">
        <v>8.01</v>
      </c>
      <c r="E100" s="175">
        <v>21.1</v>
      </c>
      <c r="F100" s="113">
        <v>0.5</v>
      </c>
      <c r="G100" s="181" t="s">
        <v>113</v>
      </c>
      <c r="H100" s="186" t="s">
        <v>113</v>
      </c>
    </row>
    <row r="101" spans="1:8" x14ac:dyDescent="0.25">
      <c r="A101" s="155">
        <v>43727</v>
      </c>
      <c r="B101" s="113">
        <v>11.2</v>
      </c>
      <c r="C101" s="113">
        <v>8.9</v>
      </c>
      <c r="D101" s="113">
        <v>7.87</v>
      </c>
      <c r="E101" s="175">
        <v>21.3</v>
      </c>
      <c r="F101" s="113">
        <v>0.5</v>
      </c>
      <c r="G101" s="181" t="s">
        <v>113</v>
      </c>
      <c r="H101" s="186" t="s">
        <v>113</v>
      </c>
    </row>
    <row r="102" spans="1:8" x14ac:dyDescent="0.25">
      <c r="A102" s="155">
        <v>43731</v>
      </c>
      <c r="B102" s="113">
        <v>11.75</v>
      </c>
      <c r="C102" s="113">
        <v>7.14</v>
      </c>
      <c r="D102" s="113">
        <v>8.0299999999999994</v>
      </c>
      <c r="E102" s="175">
        <v>22.9</v>
      </c>
      <c r="F102" s="113">
        <v>0.25</v>
      </c>
      <c r="G102" s="82">
        <v>80</v>
      </c>
      <c r="H102" s="188">
        <v>425</v>
      </c>
    </row>
    <row r="103" spans="1:8" x14ac:dyDescent="0.25">
      <c r="A103" s="156" t="s">
        <v>111</v>
      </c>
      <c r="B103" s="58">
        <f t="shared" ref="B103:H103" si="12">AVERAGE(B91:B102)</f>
        <v>10.9625</v>
      </c>
      <c r="C103" s="58">
        <f t="shared" si="12"/>
        <v>8.1225000000000005</v>
      </c>
      <c r="D103" s="58">
        <f t="shared" si="12"/>
        <v>8.0374999999999996</v>
      </c>
      <c r="E103" s="177">
        <f t="shared" si="12"/>
        <v>22</v>
      </c>
      <c r="F103" s="58">
        <f t="shared" si="12"/>
        <v>0.41666666666666669</v>
      </c>
      <c r="G103" s="182">
        <f t="shared" si="12"/>
        <v>100</v>
      </c>
      <c r="H103" s="187">
        <f t="shared" si="12"/>
        <v>400</v>
      </c>
    </row>
    <row r="104" spans="1:8" x14ac:dyDescent="0.25">
      <c r="A104" s="156" t="s">
        <v>112</v>
      </c>
      <c r="B104" s="58">
        <f t="shared" ref="B104:H104" si="13">_xlfn.STDEV.S(B91:B102)</f>
        <v>0.83516057247584552</v>
      </c>
      <c r="C104" s="58">
        <f t="shared" si="13"/>
        <v>0.54719325155328313</v>
      </c>
      <c r="D104" s="58">
        <f t="shared" si="13"/>
        <v>7.337636478520114E-2</v>
      </c>
      <c r="E104" s="177">
        <f t="shared" si="13"/>
        <v>0.94001934216076821</v>
      </c>
      <c r="F104" s="58">
        <f t="shared" si="13"/>
        <v>0.24618298195866545</v>
      </c>
      <c r="G104" s="182">
        <f t="shared" si="13"/>
        <v>44.721359549995796</v>
      </c>
      <c r="H104" s="187">
        <f t="shared" si="13"/>
        <v>55.901699437494742</v>
      </c>
    </row>
    <row r="105" spans="1:8" x14ac:dyDescent="0.25">
      <c r="A105" s="156" t="s">
        <v>114</v>
      </c>
      <c r="B105" s="58">
        <f t="shared" ref="B105:H105" si="14">MIN(B91:B102)</f>
        <v>9.59</v>
      </c>
      <c r="C105" s="58">
        <f t="shared" si="14"/>
        <v>7.14</v>
      </c>
      <c r="D105" s="58">
        <f t="shared" si="14"/>
        <v>7.87</v>
      </c>
      <c r="E105" s="177">
        <f t="shared" si="14"/>
        <v>21.1</v>
      </c>
      <c r="F105" s="58">
        <f t="shared" si="14"/>
        <v>0</v>
      </c>
      <c r="G105" s="182">
        <f t="shared" si="14"/>
        <v>80</v>
      </c>
      <c r="H105" s="187">
        <f t="shared" si="14"/>
        <v>300</v>
      </c>
    </row>
    <row r="106" spans="1:8" ht="15.75" thickBot="1" x14ac:dyDescent="0.3">
      <c r="A106" s="157" t="s">
        <v>115</v>
      </c>
      <c r="B106" s="112">
        <f t="shared" ref="B106:H106" si="15">MAX(B91:B102)</f>
        <v>12.08</v>
      </c>
      <c r="C106" s="112">
        <f t="shared" si="15"/>
        <v>8.9</v>
      </c>
      <c r="D106" s="112">
        <f t="shared" si="15"/>
        <v>8.16</v>
      </c>
      <c r="E106" s="178">
        <f t="shared" si="15"/>
        <v>23.8</v>
      </c>
      <c r="F106" s="112">
        <f t="shared" si="15"/>
        <v>1</v>
      </c>
      <c r="G106" s="183">
        <f t="shared" si="15"/>
        <v>180</v>
      </c>
      <c r="H106" s="189">
        <f t="shared" si="15"/>
        <v>425</v>
      </c>
    </row>
    <row r="109" spans="1:8" x14ac:dyDescent="0.25">
      <c r="A109" s="37" t="s">
        <v>127</v>
      </c>
      <c r="B109" s="206"/>
      <c r="C109" s="206"/>
      <c r="D109" s="206"/>
      <c r="E109" s="207"/>
      <c r="F109" s="206"/>
      <c r="G109" s="206"/>
      <c r="H109" s="206"/>
    </row>
    <row r="110" spans="1:8" ht="30" x14ac:dyDescent="0.25">
      <c r="B110" s="121" t="s">
        <v>118</v>
      </c>
      <c r="C110" s="120" t="s">
        <v>106</v>
      </c>
      <c r="D110" s="120" t="s">
        <v>107</v>
      </c>
      <c r="E110" s="174" t="s">
        <v>119</v>
      </c>
      <c r="F110" s="120" t="s">
        <v>108</v>
      </c>
      <c r="G110" s="121" t="s">
        <v>109</v>
      </c>
      <c r="H110" s="121" t="s">
        <v>110</v>
      </c>
    </row>
    <row r="111" spans="1:8" x14ac:dyDescent="0.25">
      <c r="A111" s="156" t="s">
        <v>111</v>
      </c>
      <c r="B111">
        <f>AVERAGE(B$3:B$6,B$13:B$66,B$73:B$84,B$91:B$102)</f>
        <v>10.350864197530864</v>
      </c>
      <c r="C111">
        <f t="shared" ref="C111:H111" si="16">AVERAGE(C$3:C$6,C$13:C$66,C$73:C$84,C$91:C$102)</f>
        <v>8.2642682926829263</v>
      </c>
      <c r="D111">
        <f t="shared" si="16"/>
        <v>7.6395061728395071</v>
      </c>
      <c r="E111">
        <f t="shared" si="16"/>
        <v>24.302439024390246</v>
      </c>
      <c r="F111">
        <f t="shared" si="16"/>
        <v>0.29882926829268291</v>
      </c>
      <c r="G111">
        <f t="shared" si="16"/>
        <v>116.96969696969697</v>
      </c>
      <c r="H111">
        <f t="shared" si="16"/>
        <v>326.5151515151515</v>
      </c>
    </row>
    <row r="112" spans="1:8" x14ac:dyDescent="0.25">
      <c r="A112" s="156" t="s">
        <v>112</v>
      </c>
      <c r="B112">
        <f>STDEV(B$3:B$6,B$13:B$66,B$73:B$84,B$91:B$102)</f>
        <v>0.81370940379668744</v>
      </c>
      <c r="C112">
        <f>STDEV(C$3:C$6,C$13:C$66,C$73:C$84,C$91:C$102)</f>
        <v>1.1087920582169435</v>
      </c>
      <c r="D112">
        <f>STDEV(D$3:D$6,D$13:D$66,D$73:D$84,D$91:D$102)</f>
        <v>0.42152965860828795</v>
      </c>
      <c r="E112">
        <f t="shared" ref="E112:H112" si="17">STDEV(E$3:E$6,E$13:E$66,E$73:E$84,E$91:E$102)</f>
        <v>1.8235073794483914</v>
      </c>
      <c r="F112">
        <f t="shared" si="17"/>
        <v>0.25590564449788478</v>
      </c>
      <c r="G112">
        <f t="shared" si="17"/>
        <v>32.45042839517383</v>
      </c>
      <c r="H112">
        <f t="shared" si="17"/>
        <v>51.893593783409997</v>
      </c>
    </row>
    <row r="113" spans="1:8" x14ac:dyDescent="0.25">
      <c r="A113" s="156" t="s">
        <v>114</v>
      </c>
      <c r="B113">
        <f t="shared" ref="B113:H113" si="18">MIN(B$3:B$6,B$13:B$66,B$73:B$84,B$91:B$102)</f>
        <v>8.08</v>
      </c>
      <c r="C113">
        <f t="shared" si="18"/>
        <v>6.4</v>
      </c>
      <c r="D113">
        <f t="shared" si="18"/>
        <v>6.55</v>
      </c>
      <c r="E113">
        <f t="shared" si="18"/>
        <v>20.7</v>
      </c>
      <c r="F113">
        <f t="shared" si="18"/>
        <v>0</v>
      </c>
      <c r="G113">
        <f t="shared" si="18"/>
        <v>80</v>
      </c>
      <c r="H113">
        <f t="shared" si="18"/>
        <v>300</v>
      </c>
    </row>
    <row r="114" spans="1:8" ht="15.75" thickBot="1" x14ac:dyDescent="0.3">
      <c r="A114" s="157" t="s">
        <v>115</v>
      </c>
      <c r="B114">
        <f t="shared" ref="B114:H114" si="19">MAX(B$3:B$6,B$13:B$66,B$73:B$84,B$91:B$102)</f>
        <v>12.08</v>
      </c>
      <c r="C114">
        <f t="shared" si="19"/>
        <v>12.17</v>
      </c>
      <c r="D114">
        <f t="shared" si="19"/>
        <v>8.16</v>
      </c>
      <c r="E114">
        <f t="shared" si="19"/>
        <v>26.7</v>
      </c>
      <c r="F114">
        <f t="shared" si="19"/>
        <v>1</v>
      </c>
      <c r="G114">
        <f t="shared" si="19"/>
        <v>180</v>
      </c>
      <c r="H114">
        <f t="shared" si="19"/>
        <v>425</v>
      </c>
    </row>
  </sheetData>
  <mergeCells count="4">
    <mergeCell ref="A1:H1"/>
    <mergeCell ref="A11:I11"/>
    <mergeCell ref="A71:H71"/>
    <mergeCell ref="A89:H8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X65"/>
  <sheetViews>
    <sheetView topLeftCell="A52" zoomScaleNormal="100" workbookViewId="0">
      <selection activeCell="H53" sqref="H53"/>
    </sheetView>
  </sheetViews>
  <sheetFormatPr defaultRowHeight="15" x14ac:dyDescent="0.25"/>
  <cols>
    <col min="4" max="4" width="9.85546875" customWidth="1"/>
    <col min="8" max="8" width="10.140625" customWidth="1"/>
    <col min="11" max="11" width="9.140625" style="1"/>
    <col min="12" max="12" width="10.85546875" customWidth="1"/>
    <col min="16" max="16" width="10.7109375" customWidth="1"/>
    <col min="20" max="20" width="10.28515625" customWidth="1"/>
  </cols>
  <sheetData>
    <row r="1" spans="1:24" ht="15.75" thickBot="1" x14ac:dyDescent="0.3">
      <c r="A1" s="230" t="s">
        <v>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2"/>
      <c r="M1" s="230" t="s">
        <v>13</v>
      </c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2"/>
    </row>
    <row r="2" spans="1:24" x14ac:dyDescent="0.25">
      <c r="A2" s="225" t="s">
        <v>7</v>
      </c>
      <c r="B2" s="226"/>
      <c r="C2" s="226"/>
      <c r="D2" s="226"/>
      <c r="E2" s="227" t="s">
        <v>8</v>
      </c>
      <c r="F2" s="228"/>
      <c r="G2" s="228"/>
      <c r="H2" s="228"/>
      <c r="I2" s="228"/>
      <c r="J2" s="228"/>
      <c r="K2" s="228"/>
      <c r="L2" s="229"/>
      <c r="M2" s="225" t="s">
        <v>7</v>
      </c>
      <c r="N2" s="226"/>
      <c r="O2" s="226"/>
      <c r="P2" s="226"/>
      <c r="Q2" s="227" t="s">
        <v>8</v>
      </c>
      <c r="R2" s="228"/>
      <c r="S2" s="228"/>
      <c r="T2" s="228"/>
      <c r="U2" s="228"/>
      <c r="V2" s="228"/>
      <c r="W2" s="228"/>
      <c r="X2" s="229"/>
    </row>
    <row r="3" spans="1:24" x14ac:dyDescent="0.25">
      <c r="A3" s="12" t="s">
        <v>0</v>
      </c>
      <c r="B3" s="3" t="s">
        <v>1</v>
      </c>
      <c r="C3" s="3" t="s">
        <v>2</v>
      </c>
      <c r="D3" s="3" t="s">
        <v>3</v>
      </c>
      <c r="E3" s="18" t="s">
        <v>0</v>
      </c>
      <c r="F3" s="19" t="s">
        <v>1</v>
      </c>
      <c r="G3" s="19" t="s">
        <v>2</v>
      </c>
      <c r="H3" s="19" t="s">
        <v>3</v>
      </c>
      <c r="I3" s="19" t="s">
        <v>11</v>
      </c>
      <c r="J3" s="19" t="s">
        <v>12</v>
      </c>
      <c r="K3" s="20" t="s">
        <v>9</v>
      </c>
      <c r="L3" s="41" t="s">
        <v>10</v>
      </c>
      <c r="M3" s="40" t="s">
        <v>0</v>
      </c>
      <c r="N3" s="37" t="s">
        <v>1</v>
      </c>
      <c r="O3" s="37" t="s">
        <v>2</v>
      </c>
      <c r="P3" s="37" t="s">
        <v>3</v>
      </c>
      <c r="Q3" s="18" t="s">
        <v>0</v>
      </c>
      <c r="R3" s="19" t="s">
        <v>1</v>
      </c>
      <c r="S3" s="19" t="s">
        <v>2</v>
      </c>
      <c r="T3" s="19" t="s">
        <v>3</v>
      </c>
      <c r="U3" s="19" t="s">
        <v>11</v>
      </c>
      <c r="V3" s="19" t="s">
        <v>12</v>
      </c>
      <c r="W3" s="20" t="s">
        <v>9</v>
      </c>
      <c r="X3" s="41" t="s">
        <v>10</v>
      </c>
    </row>
    <row r="4" spans="1:24" x14ac:dyDescent="0.25">
      <c r="A4" s="14">
        <v>1</v>
      </c>
      <c r="B4" s="5">
        <v>10</v>
      </c>
      <c r="C4" s="5">
        <v>10</v>
      </c>
      <c r="D4" s="7">
        <f>C4/B4</f>
        <v>1</v>
      </c>
      <c r="E4" s="21">
        <v>1</v>
      </c>
      <c r="F4" s="22">
        <v>10</v>
      </c>
      <c r="G4" s="22">
        <v>9</v>
      </c>
      <c r="H4" s="23">
        <f>G4/F4</f>
        <v>0.9</v>
      </c>
      <c r="I4" s="22">
        <v>6</v>
      </c>
      <c r="J4" s="22">
        <f>G4-I4</f>
        <v>3</v>
      </c>
      <c r="K4" s="23">
        <f>I4/G4</f>
        <v>0.66666666666666663</v>
      </c>
      <c r="L4" s="43">
        <f>J4/G4</f>
        <v>0.33333333333333331</v>
      </c>
      <c r="M4" s="42">
        <v>1</v>
      </c>
      <c r="N4" s="10">
        <v>10</v>
      </c>
      <c r="O4" s="10">
        <v>8</v>
      </c>
      <c r="P4" s="38">
        <f>O4/N4</f>
        <v>0.8</v>
      </c>
      <c r="Q4" s="21">
        <v>1</v>
      </c>
      <c r="R4" s="22">
        <v>10</v>
      </c>
      <c r="S4" s="22">
        <v>8</v>
      </c>
      <c r="T4" s="23">
        <f>S4/R4</f>
        <v>0.8</v>
      </c>
      <c r="U4" s="22">
        <v>3</v>
      </c>
      <c r="V4" s="22">
        <f>S4-U4</f>
        <v>5</v>
      </c>
      <c r="W4" s="23">
        <f>U4/S4</f>
        <v>0.375</v>
      </c>
      <c r="X4" s="43">
        <f>V4/S4</f>
        <v>0.625</v>
      </c>
    </row>
    <row r="5" spans="1:24" x14ac:dyDescent="0.25">
      <c r="A5" s="14">
        <v>2</v>
      </c>
      <c r="B5" s="5">
        <v>10</v>
      </c>
      <c r="C5" s="5">
        <v>10</v>
      </c>
      <c r="D5" s="7">
        <f t="shared" ref="D5:D12" si="0">C5/B5</f>
        <v>1</v>
      </c>
      <c r="E5" s="21">
        <v>2</v>
      </c>
      <c r="F5" s="22">
        <v>10</v>
      </c>
      <c r="G5" s="22">
        <v>8</v>
      </c>
      <c r="H5" s="23">
        <f t="shared" ref="H5:H38" si="1">G5/F5</f>
        <v>0.8</v>
      </c>
      <c r="I5" s="22">
        <v>5</v>
      </c>
      <c r="J5" s="22">
        <f t="shared" ref="J5:J38" si="2">G5-I5</f>
        <v>3</v>
      </c>
      <c r="K5" s="23">
        <f t="shared" ref="K5:K38" si="3">I5/G5</f>
        <v>0.625</v>
      </c>
      <c r="L5" s="43">
        <f t="shared" ref="L5:L38" si="4">J5/G5</f>
        <v>0.375</v>
      </c>
      <c r="M5" s="42">
        <v>2</v>
      </c>
      <c r="N5" s="10">
        <v>10</v>
      </c>
      <c r="O5" s="10">
        <v>10</v>
      </c>
      <c r="P5" s="38">
        <f t="shared" ref="P5:P38" si="5">O5/N5</f>
        <v>1</v>
      </c>
      <c r="Q5" s="21">
        <v>2</v>
      </c>
      <c r="R5" s="22">
        <v>10</v>
      </c>
      <c r="S5" s="22">
        <v>10</v>
      </c>
      <c r="T5" s="23">
        <f t="shared" ref="T5:T38" si="6">S5/R5</f>
        <v>1</v>
      </c>
      <c r="U5" s="22">
        <v>5</v>
      </c>
      <c r="V5" s="22">
        <f t="shared" ref="V5:V38" si="7">S5-U5</f>
        <v>5</v>
      </c>
      <c r="W5" s="23">
        <f t="shared" ref="W5:W38" si="8">U5/S5</f>
        <v>0.5</v>
      </c>
      <c r="X5" s="43">
        <f t="shared" ref="X5:X38" si="9">V5/S5</f>
        <v>0.5</v>
      </c>
    </row>
    <row r="6" spans="1:24" x14ac:dyDescent="0.25">
      <c r="A6" s="14">
        <v>3</v>
      </c>
      <c r="B6" s="5">
        <v>11</v>
      </c>
      <c r="C6" s="5">
        <v>11</v>
      </c>
      <c r="D6" s="7">
        <f t="shared" si="0"/>
        <v>1</v>
      </c>
      <c r="E6" s="21">
        <v>3</v>
      </c>
      <c r="F6" s="22">
        <v>11</v>
      </c>
      <c r="G6" s="22">
        <v>11</v>
      </c>
      <c r="H6" s="23">
        <f t="shared" si="1"/>
        <v>1</v>
      </c>
      <c r="I6" s="22">
        <v>7</v>
      </c>
      <c r="J6" s="22">
        <f t="shared" si="2"/>
        <v>4</v>
      </c>
      <c r="K6" s="23">
        <f t="shared" si="3"/>
        <v>0.63636363636363635</v>
      </c>
      <c r="L6" s="43">
        <f t="shared" si="4"/>
        <v>0.36363636363636365</v>
      </c>
      <c r="M6" s="42">
        <v>3</v>
      </c>
      <c r="N6" s="10">
        <v>10</v>
      </c>
      <c r="O6" s="10">
        <v>9</v>
      </c>
      <c r="P6" s="38">
        <f t="shared" si="5"/>
        <v>0.9</v>
      </c>
      <c r="Q6" s="21">
        <v>3</v>
      </c>
      <c r="R6" s="22">
        <v>11</v>
      </c>
      <c r="S6" s="22">
        <v>8</v>
      </c>
      <c r="T6" s="23">
        <f t="shared" si="6"/>
        <v>0.72727272727272729</v>
      </c>
      <c r="U6" s="22">
        <v>4</v>
      </c>
      <c r="V6" s="22">
        <f t="shared" si="7"/>
        <v>4</v>
      </c>
      <c r="W6" s="23">
        <f t="shared" si="8"/>
        <v>0.5</v>
      </c>
      <c r="X6" s="43">
        <f t="shared" si="9"/>
        <v>0.5</v>
      </c>
    </row>
    <row r="7" spans="1:24" x14ac:dyDescent="0.25">
      <c r="A7" s="14">
        <v>4</v>
      </c>
      <c r="B7" s="5">
        <v>10</v>
      </c>
      <c r="C7" s="5">
        <v>10</v>
      </c>
      <c r="D7" s="7">
        <f t="shared" si="0"/>
        <v>1</v>
      </c>
      <c r="E7" s="21">
        <v>4</v>
      </c>
      <c r="F7" s="22">
        <v>10</v>
      </c>
      <c r="G7" s="22">
        <v>9</v>
      </c>
      <c r="H7" s="23">
        <f t="shared" si="1"/>
        <v>0.9</v>
      </c>
      <c r="I7" s="22">
        <v>3</v>
      </c>
      <c r="J7" s="22">
        <f t="shared" si="2"/>
        <v>6</v>
      </c>
      <c r="K7" s="23">
        <f t="shared" si="3"/>
        <v>0.33333333333333331</v>
      </c>
      <c r="L7" s="43">
        <f t="shared" si="4"/>
        <v>0.66666666666666663</v>
      </c>
      <c r="M7" s="42">
        <v>4</v>
      </c>
      <c r="N7" s="10">
        <v>10</v>
      </c>
      <c r="O7" s="10">
        <v>10</v>
      </c>
      <c r="P7" s="38">
        <f t="shared" si="5"/>
        <v>1</v>
      </c>
      <c r="Q7" s="21">
        <v>4</v>
      </c>
      <c r="R7" s="22">
        <v>10</v>
      </c>
      <c r="S7" s="22">
        <v>10</v>
      </c>
      <c r="T7" s="23">
        <f t="shared" si="6"/>
        <v>1</v>
      </c>
      <c r="U7" s="22">
        <v>6</v>
      </c>
      <c r="V7" s="22">
        <f t="shared" si="7"/>
        <v>4</v>
      </c>
      <c r="W7" s="23">
        <f t="shared" si="8"/>
        <v>0.6</v>
      </c>
      <c r="X7" s="43">
        <f t="shared" si="9"/>
        <v>0.4</v>
      </c>
    </row>
    <row r="8" spans="1:24" x14ac:dyDescent="0.25">
      <c r="A8" s="14">
        <v>5</v>
      </c>
      <c r="B8" s="5">
        <v>10</v>
      </c>
      <c r="C8" s="5">
        <v>8</v>
      </c>
      <c r="D8" s="7">
        <f t="shared" si="0"/>
        <v>0.8</v>
      </c>
      <c r="E8" s="21">
        <v>5</v>
      </c>
      <c r="F8" s="22">
        <v>10</v>
      </c>
      <c r="G8" s="22">
        <v>7</v>
      </c>
      <c r="H8" s="23">
        <f t="shared" si="1"/>
        <v>0.7</v>
      </c>
      <c r="I8" s="22">
        <v>2</v>
      </c>
      <c r="J8" s="22">
        <f t="shared" si="2"/>
        <v>5</v>
      </c>
      <c r="K8" s="23">
        <f t="shared" si="3"/>
        <v>0.2857142857142857</v>
      </c>
      <c r="L8" s="43">
        <f t="shared" si="4"/>
        <v>0.7142857142857143</v>
      </c>
      <c r="M8" s="42">
        <v>5</v>
      </c>
      <c r="N8" s="10">
        <v>10</v>
      </c>
      <c r="O8" s="10">
        <v>8</v>
      </c>
      <c r="P8" s="38">
        <f t="shared" si="5"/>
        <v>0.8</v>
      </c>
      <c r="Q8" s="21">
        <v>5</v>
      </c>
      <c r="R8" s="22">
        <v>10</v>
      </c>
      <c r="S8" s="22">
        <v>9</v>
      </c>
      <c r="T8" s="23">
        <f t="shared" si="6"/>
        <v>0.9</v>
      </c>
      <c r="U8" s="22">
        <v>6</v>
      </c>
      <c r="V8" s="22">
        <f t="shared" si="7"/>
        <v>3</v>
      </c>
      <c r="W8" s="23">
        <f t="shared" si="8"/>
        <v>0.66666666666666663</v>
      </c>
      <c r="X8" s="43">
        <f t="shared" si="9"/>
        <v>0.33333333333333331</v>
      </c>
    </row>
    <row r="9" spans="1:24" x14ac:dyDescent="0.25">
      <c r="A9" s="14">
        <v>6</v>
      </c>
      <c r="B9" s="5">
        <v>10</v>
      </c>
      <c r="C9" s="5">
        <v>10</v>
      </c>
      <c r="D9" s="7">
        <f t="shared" si="0"/>
        <v>1</v>
      </c>
      <c r="E9" s="21">
        <v>6</v>
      </c>
      <c r="F9" s="22">
        <v>10</v>
      </c>
      <c r="G9" s="22">
        <v>7</v>
      </c>
      <c r="H9" s="23">
        <f t="shared" si="1"/>
        <v>0.7</v>
      </c>
      <c r="I9" s="22">
        <v>1</v>
      </c>
      <c r="J9" s="22">
        <f t="shared" si="2"/>
        <v>6</v>
      </c>
      <c r="K9" s="23">
        <f t="shared" si="3"/>
        <v>0.14285714285714285</v>
      </c>
      <c r="L9" s="43">
        <f t="shared" si="4"/>
        <v>0.8571428571428571</v>
      </c>
      <c r="M9" s="42">
        <v>6</v>
      </c>
      <c r="N9" s="10">
        <v>10</v>
      </c>
      <c r="O9" s="10">
        <v>10</v>
      </c>
      <c r="P9" s="38">
        <f t="shared" si="5"/>
        <v>1</v>
      </c>
      <c r="Q9" s="21">
        <v>6</v>
      </c>
      <c r="R9" s="22">
        <v>10</v>
      </c>
      <c r="S9" s="22">
        <v>10</v>
      </c>
      <c r="T9" s="23">
        <f t="shared" si="6"/>
        <v>1</v>
      </c>
      <c r="U9" s="22">
        <v>5</v>
      </c>
      <c r="V9" s="22">
        <f t="shared" si="7"/>
        <v>5</v>
      </c>
      <c r="W9" s="23">
        <f t="shared" si="8"/>
        <v>0.5</v>
      </c>
      <c r="X9" s="43">
        <f t="shared" si="9"/>
        <v>0.5</v>
      </c>
    </row>
    <row r="10" spans="1:24" x14ac:dyDescent="0.25">
      <c r="A10" s="14">
        <v>7</v>
      </c>
      <c r="B10" s="5">
        <v>10</v>
      </c>
      <c r="C10" s="5">
        <v>8</v>
      </c>
      <c r="D10" s="7">
        <f t="shared" si="0"/>
        <v>0.8</v>
      </c>
      <c r="E10" s="21">
        <v>7</v>
      </c>
      <c r="F10" s="22">
        <v>10</v>
      </c>
      <c r="G10" s="22">
        <v>7</v>
      </c>
      <c r="H10" s="23">
        <f t="shared" si="1"/>
        <v>0.7</v>
      </c>
      <c r="I10" s="22">
        <v>6</v>
      </c>
      <c r="J10" s="22">
        <f t="shared" si="2"/>
        <v>1</v>
      </c>
      <c r="K10" s="23">
        <f t="shared" si="3"/>
        <v>0.8571428571428571</v>
      </c>
      <c r="L10" s="43">
        <f t="shared" si="4"/>
        <v>0.14285714285714285</v>
      </c>
      <c r="M10" s="42">
        <v>7</v>
      </c>
      <c r="N10" s="10">
        <v>10</v>
      </c>
      <c r="O10" s="10">
        <v>9</v>
      </c>
      <c r="P10" s="38">
        <f t="shared" si="5"/>
        <v>0.9</v>
      </c>
      <c r="Q10" s="21">
        <v>7</v>
      </c>
      <c r="R10" s="22">
        <v>10</v>
      </c>
      <c r="S10" s="22">
        <v>9</v>
      </c>
      <c r="T10" s="23">
        <f t="shared" si="6"/>
        <v>0.9</v>
      </c>
      <c r="U10" s="22">
        <v>3</v>
      </c>
      <c r="V10" s="22">
        <f t="shared" si="7"/>
        <v>6</v>
      </c>
      <c r="W10" s="23">
        <f t="shared" si="8"/>
        <v>0.33333333333333331</v>
      </c>
      <c r="X10" s="43">
        <f t="shared" si="9"/>
        <v>0.66666666666666663</v>
      </c>
    </row>
    <row r="11" spans="1:24" x14ac:dyDescent="0.25">
      <c r="A11" s="14">
        <v>8</v>
      </c>
      <c r="B11" s="5">
        <v>10</v>
      </c>
      <c r="C11" s="5">
        <v>9</v>
      </c>
      <c r="D11" s="7">
        <f t="shared" si="0"/>
        <v>0.9</v>
      </c>
      <c r="E11" s="21">
        <v>8</v>
      </c>
      <c r="F11" s="22">
        <v>10</v>
      </c>
      <c r="G11" s="22">
        <v>8</v>
      </c>
      <c r="H11" s="23">
        <f t="shared" si="1"/>
        <v>0.8</v>
      </c>
      <c r="I11" s="22">
        <v>3</v>
      </c>
      <c r="J11" s="22">
        <f t="shared" si="2"/>
        <v>5</v>
      </c>
      <c r="K11" s="23">
        <f t="shared" si="3"/>
        <v>0.375</v>
      </c>
      <c r="L11" s="43">
        <f t="shared" si="4"/>
        <v>0.625</v>
      </c>
      <c r="M11" s="42">
        <v>8</v>
      </c>
      <c r="N11" s="10">
        <v>10</v>
      </c>
      <c r="O11" s="10">
        <v>10</v>
      </c>
      <c r="P11" s="38">
        <f t="shared" si="5"/>
        <v>1</v>
      </c>
      <c r="Q11" s="21">
        <v>8</v>
      </c>
      <c r="R11" s="22">
        <v>10</v>
      </c>
      <c r="S11" s="22">
        <v>9</v>
      </c>
      <c r="T11" s="23">
        <f t="shared" si="6"/>
        <v>0.9</v>
      </c>
      <c r="U11" s="22">
        <v>4</v>
      </c>
      <c r="V11" s="22">
        <f t="shared" si="7"/>
        <v>5</v>
      </c>
      <c r="W11" s="23">
        <f t="shared" si="8"/>
        <v>0.44444444444444442</v>
      </c>
      <c r="X11" s="43">
        <f t="shared" si="9"/>
        <v>0.55555555555555558</v>
      </c>
    </row>
    <row r="12" spans="1:24" x14ac:dyDescent="0.25">
      <c r="A12" s="14">
        <v>9</v>
      </c>
      <c r="B12" s="5">
        <v>10</v>
      </c>
      <c r="C12" s="5">
        <v>10</v>
      </c>
      <c r="D12" s="7">
        <f t="shared" si="0"/>
        <v>1</v>
      </c>
      <c r="E12" s="21">
        <v>9</v>
      </c>
      <c r="F12" s="22">
        <v>10</v>
      </c>
      <c r="G12" s="22">
        <v>10</v>
      </c>
      <c r="H12" s="23">
        <f t="shared" si="1"/>
        <v>1</v>
      </c>
      <c r="I12" s="22">
        <v>7</v>
      </c>
      <c r="J12" s="22">
        <f t="shared" si="2"/>
        <v>3</v>
      </c>
      <c r="K12" s="23">
        <f t="shared" si="3"/>
        <v>0.7</v>
      </c>
      <c r="L12" s="43">
        <f t="shared" si="4"/>
        <v>0.3</v>
      </c>
      <c r="M12" s="42">
        <v>9</v>
      </c>
      <c r="N12" s="10">
        <v>10</v>
      </c>
      <c r="O12" s="10">
        <v>9</v>
      </c>
      <c r="P12" s="38">
        <f t="shared" si="5"/>
        <v>0.9</v>
      </c>
      <c r="Q12" s="21">
        <v>9</v>
      </c>
      <c r="R12" s="22">
        <v>10</v>
      </c>
      <c r="S12" s="22">
        <v>8</v>
      </c>
      <c r="T12" s="23">
        <f t="shared" si="6"/>
        <v>0.8</v>
      </c>
      <c r="U12" s="22">
        <v>4</v>
      </c>
      <c r="V12" s="22">
        <f t="shared" si="7"/>
        <v>4</v>
      </c>
      <c r="W12" s="23">
        <f t="shared" si="8"/>
        <v>0.5</v>
      </c>
      <c r="X12" s="43">
        <f t="shared" si="9"/>
        <v>0.5</v>
      </c>
    </row>
    <row r="13" spans="1:24" x14ac:dyDescent="0.25">
      <c r="A13" s="14">
        <v>10</v>
      </c>
      <c r="B13" s="5">
        <v>10</v>
      </c>
      <c r="C13" s="5">
        <v>9</v>
      </c>
      <c r="D13" s="7">
        <f t="shared" ref="D13:D38" si="10">C13/B13</f>
        <v>0.9</v>
      </c>
      <c r="E13" s="21">
        <v>10</v>
      </c>
      <c r="F13" s="22">
        <v>10</v>
      </c>
      <c r="G13" s="22">
        <v>9</v>
      </c>
      <c r="H13" s="23">
        <f t="shared" si="1"/>
        <v>0.9</v>
      </c>
      <c r="I13" s="22">
        <v>4</v>
      </c>
      <c r="J13" s="22">
        <f t="shared" si="2"/>
        <v>5</v>
      </c>
      <c r="K13" s="23">
        <f t="shared" si="3"/>
        <v>0.44444444444444442</v>
      </c>
      <c r="L13" s="43">
        <f t="shared" si="4"/>
        <v>0.55555555555555558</v>
      </c>
      <c r="M13" s="42">
        <v>10</v>
      </c>
      <c r="N13" s="10">
        <v>10</v>
      </c>
      <c r="O13" s="10">
        <v>8</v>
      </c>
      <c r="P13" s="38">
        <f t="shared" si="5"/>
        <v>0.8</v>
      </c>
      <c r="Q13" s="21">
        <v>10</v>
      </c>
      <c r="R13" s="22">
        <v>10</v>
      </c>
      <c r="S13" s="22">
        <v>8</v>
      </c>
      <c r="T13" s="23">
        <f t="shared" si="6"/>
        <v>0.8</v>
      </c>
      <c r="U13" s="22">
        <v>4</v>
      </c>
      <c r="V13" s="22">
        <f t="shared" si="7"/>
        <v>4</v>
      </c>
      <c r="W13" s="23">
        <f t="shared" si="8"/>
        <v>0.5</v>
      </c>
      <c r="X13" s="43">
        <f t="shared" si="9"/>
        <v>0.5</v>
      </c>
    </row>
    <row r="14" spans="1:24" x14ac:dyDescent="0.25">
      <c r="A14" s="14">
        <v>11</v>
      </c>
      <c r="B14" s="5">
        <v>10</v>
      </c>
      <c r="C14" s="5">
        <v>9</v>
      </c>
      <c r="D14" s="7">
        <f t="shared" si="10"/>
        <v>0.9</v>
      </c>
      <c r="E14" s="21">
        <v>11</v>
      </c>
      <c r="F14" s="22">
        <v>10</v>
      </c>
      <c r="G14" s="22">
        <v>9</v>
      </c>
      <c r="H14" s="23">
        <f t="shared" si="1"/>
        <v>0.9</v>
      </c>
      <c r="I14" s="22">
        <v>6</v>
      </c>
      <c r="J14" s="22">
        <f t="shared" si="2"/>
        <v>3</v>
      </c>
      <c r="K14" s="23">
        <f t="shared" si="3"/>
        <v>0.66666666666666663</v>
      </c>
      <c r="L14" s="43">
        <f t="shared" si="4"/>
        <v>0.33333333333333331</v>
      </c>
      <c r="M14" s="42">
        <v>11</v>
      </c>
      <c r="N14" s="10">
        <v>10</v>
      </c>
      <c r="O14" s="10">
        <v>10</v>
      </c>
      <c r="P14" s="38">
        <f t="shared" si="5"/>
        <v>1</v>
      </c>
      <c r="Q14" s="21">
        <v>11</v>
      </c>
      <c r="R14" s="22">
        <v>10</v>
      </c>
      <c r="S14" s="22">
        <v>8</v>
      </c>
      <c r="T14" s="23">
        <f t="shared" si="6"/>
        <v>0.8</v>
      </c>
      <c r="U14" s="22">
        <v>5</v>
      </c>
      <c r="V14" s="22">
        <f t="shared" si="7"/>
        <v>3</v>
      </c>
      <c r="W14" s="23">
        <f t="shared" si="8"/>
        <v>0.625</v>
      </c>
      <c r="X14" s="43">
        <f t="shared" si="9"/>
        <v>0.375</v>
      </c>
    </row>
    <row r="15" spans="1:24" x14ac:dyDescent="0.25">
      <c r="A15" s="14">
        <v>12</v>
      </c>
      <c r="B15" s="5">
        <v>10</v>
      </c>
      <c r="C15" s="5">
        <v>8</v>
      </c>
      <c r="D15" s="7">
        <f t="shared" si="10"/>
        <v>0.8</v>
      </c>
      <c r="E15" s="21">
        <v>12</v>
      </c>
      <c r="F15" s="22">
        <v>10</v>
      </c>
      <c r="G15" s="22">
        <v>8</v>
      </c>
      <c r="H15" s="23">
        <f t="shared" si="1"/>
        <v>0.8</v>
      </c>
      <c r="I15" s="22">
        <v>4</v>
      </c>
      <c r="J15" s="22">
        <f t="shared" si="2"/>
        <v>4</v>
      </c>
      <c r="K15" s="23">
        <f t="shared" si="3"/>
        <v>0.5</v>
      </c>
      <c r="L15" s="43">
        <f t="shared" si="4"/>
        <v>0.5</v>
      </c>
      <c r="M15" s="42">
        <v>12</v>
      </c>
      <c r="N15" s="10">
        <v>10</v>
      </c>
      <c r="O15" s="10">
        <v>7</v>
      </c>
      <c r="P15" s="38">
        <f t="shared" si="5"/>
        <v>0.7</v>
      </c>
      <c r="Q15" s="21">
        <v>12</v>
      </c>
      <c r="R15" s="22">
        <v>10</v>
      </c>
      <c r="S15" s="22">
        <v>7</v>
      </c>
      <c r="T15" s="23">
        <f t="shared" si="6"/>
        <v>0.7</v>
      </c>
      <c r="U15" s="22">
        <v>4</v>
      </c>
      <c r="V15" s="22">
        <f t="shared" si="7"/>
        <v>3</v>
      </c>
      <c r="W15" s="23">
        <f t="shared" si="8"/>
        <v>0.5714285714285714</v>
      </c>
      <c r="X15" s="43">
        <f t="shared" si="9"/>
        <v>0.42857142857142855</v>
      </c>
    </row>
    <row r="16" spans="1:24" x14ac:dyDescent="0.25">
      <c r="A16" s="14">
        <v>13</v>
      </c>
      <c r="B16" s="5">
        <v>10</v>
      </c>
      <c r="C16" s="5">
        <v>8</v>
      </c>
      <c r="D16" s="7">
        <f t="shared" si="10"/>
        <v>0.8</v>
      </c>
      <c r="E16" s="21">
        <v>13</v>
      </c>
      <c r="F16" s="22">
        <v>10</v>
      </c>
      <c r="G16" s="22">
        <v>8</v>
      </c>
      <c r="H16" s="23">
        <f t="shared" si="1"/>
        <v>0.8</v>
      </c>
      <c r="I16" s="22">
        <v>5</v>
      </c>
      <c r="J16" s="22">
        <f t="shared" si="2"/>
        <v>3</v>
      </c>
      <c r="K16" s="23">
        <f t="shared" si="3"/>
        <v>0.625</v>
      </c>
      <c r="L16" s="43">
        <f t="shared" si="4"/>
        <v>0.375</v>
      </c>
      <c r="M16" s="42">
        <v>13</v>
      </c>
      <c r="N16" s="10">
        <v>10</v>
      </c>
      <c r="O16" s="10">
        <v>8</v>
      </c>
      <c r="P16" s="38">
        <f t="shared" si="5"/>
        <v>0.8</v>
      </c>
      <c r="Q16" s="21">
        <v>13</v>
      </c>
      <c r="R16" s="22">
        <v>10</v>
      </c>
      <c r="S16" s="22">
        <v>8</v>
      </c>
      <c r="T16" s="23">
        <f t="shared" si="6"/>
        <v>0.8</v>
      </c>
      <c r="U16" s="22">
        <v>2</v>
      </c>
      <c r="V16" s="22">
        <f t="shared" si="7"/>
        <v>6</v>
      </c>
      <c r="W16" s="23">
        <f t="shared" si="8"/>
        <v>0.25</v>
      </c>
      <c r="X16" s="43">
        <f t="shared" si="9"/>
        <v>0.75</v>
      </c>
    </row>
    <row r="17" spans="1:24" x14ac:dyDescent="0.25">
      <c r="A17" s="14">
        <v>14</v>
      </c>
      <c r="B17" s="5">
        <v>10</v>
      </c>
      <c r="C17" s="5">
        <v>10</v>
      </c>
      <c r="D17" s="7">
        <f t="shared" si="10"/>
        <v>1</v>
      </c>
      <c r="E17" s="21">
        <v>14</v>
      </c>
      <c r="F17" s="22">
        <v>10</v>
      </c>
      <c r="G17" s="22">
        <v>10</v>
      </c>
      <c r="H17" s="23">
        <f t="shared" si="1"/>
        <v>1</v>
      </c>
      <c r="I17" s="22">
        <v>5</v>
      </c>
      <c r="J17" s="22">
        <v>5</v>
      </c>
      <c r="K17" s="23">
        <f t="shared" si="3"/>
        <v>0.5</v>
      </c>
      <c r="L17" s="43">
        <f t="shared" si="4"/>
        <v>0.5</v>
      </c>
      <c r="M17" s="42">
        <v>14</v>
      </c>
      <c r="N17" s="10">
        <v>10</v>
      </c>
      <c r="O17" s="10">
        <v>10</v>
      </c>
      <c r="P17" s="38">
        <f t="shared" si="5"/>
        <v>1</v>
      </c>
      <c r="Q17" s="21">
        <v>14</v>
      </c>
      <c r="R17" s="22">
        <v>10</v>
      </c>
      <c r="S17" s="22">
        <v>9</v>
      </c>
      <c r="T17" s="23">
        <f t="shared" si="6"/>
        <v>0.9</v>
      </c>
      <c r="U17" s="22">
        <v>6</v>
      </c>
      <c r="V17" s="22">
        <f t="shared" si="7"/>
        <v>3</v>
      </c>
      <c r="W17" s="23">
        <f t="shared" si="8"/>
        <v>0.66666666666666663</v>
      </c>
      <c r="X17" s="43">
        <f t="shared" si="9"/>
        <v>0.33333333333333331</v>
      </c>
    </row>
    <row r="18" spans="1:24" x14ac:dyDescent="0.25">
      <c r="A18" s="14">
        <v>15</v>
      </c>
      <c r="B18" s="5">
        <v>11</v>
      </c>
      <c r="C18" s="5">
        <v>11</v>
      </c>
      <c r="D18" s="7">
        <f t="shared" si="10"/>
        <v>1</v>
      </c>
      <c r="E18" s="21">
        <v>15</v>
      </c>
      <c r="F18" s="22">
        <v>10</v>
      </c>
      <c r="G18" s="22">
        <v>8</v>
      </c>
      <c r="H18" s="23">
        <f t="shared" si="1"/>
        <v>0.8</v>
      </c>
      <c r="I18" s="22">
        <v>4</v>
      </c>
      <c r="J18" s="22">
        <f t="shared" si="2"/>
        <v>4</v>
      </c>
      <c r="K18" s="23">
        <f t="shared" si="3"/>
        <v>0.5</v>
      </c>
      <c r="L18" s="43">
        <f t="shared" si="4"/>
        <v>0.5</v>
      </c>
      <c r="M18" s="42">
        <v>15</v>
      </c>
      <c r="N18" s="10">
        <v>10</v>
      </c>
      <c r="O18" s="10">
        <v>9</v>
      </c>
      <c r="P18" s="38">
        <f t="shared" si="5"/>
        <v>0.9</v>
      </c>
      <c r="Q18" s="21">
        <v>15</v>
      </c>
      <c r="R18" s="22">
        <v>10</v>
      </c>
      <c r="S18" s="22">
        <v>9</v>
      </c>
      <c r="T18" s="23">
        <f t="shared" si="6"/>
        <v>0.9</v>
      </c>
      <c r="U18" s="22">
        <v>7</v>
      </c>
      <c r="V18" s="22">
        <f t="shared" si="7"/>
        <v>2</v>
      </c>
      <c r="W18" s="23">
        <f t="shared" si="8"/>
        <v>0.77777777777777779</v>
      </c>
      <c r="X18" s="43">
        <f t="shared" si="9"/>
        <v>0.22222222222222221</v>
      </c>
    </row>
    <row r="19" spans="1:24" x14ac:dyDescent="0.25">
      <c r="A19" s="14">
        <v>16</v>
      </c>
      <c r="B19" s="5">
        <v>11</v>
      </c>
      <c r="C19" s="5">
        <v>11</v>
      </c>
      <c r="D19" s="7">
        <f t="shared" si="10"/>
        <v>1</v>
      </c>
      <c r="E19" s="21">
        <v>16</v>
      </c>
      <c r="F19" s="22">
        <v>10</v>
      </c>
      <c r="G19" s="22">
        <v>10</v>
      </c>
      <c r="H19" s="23">
        <f t="shared" si="1"/>
        <v>1</v>
      </c>
      <c r="I19" s="22">
        <v>5</v>
      </c>
      <c r="J19" s="22">
        <f t="shared" si="2"/>
        <v>5</v>
      </c>
      <c r="K19" s="23">
        <f t="shared" si="3"/>
        <v>0.5</v>
      </c>
      <c r="L19" s="43">
        <f t="shared" si="4"/>
        <v>0.5</v>
      </c>
      <c r="M19" s="42">
        <v>16</v>
      </c>
      <c r="N19" s="10">
        <v>10</v>
      </c>
      <c r="O19" s="10">
        <v>10</v>
      </c>
      <c r="P19" s="38">
        <f t="shared" si="5"/>
        <v>1</v>
      </c>
      <c r="Q19" s="21">
        <v>16</v>
      </c>
      <c r="R19" s="22">
        <v>10</v>
      </c>
      <c r="S19" s="22">
        <v>11</v>
      </c>
      <c r="T19" s="23">
        <f t="shared" si="6"/>
        <v>1.1000000000000001</v>
      </c>
      <c r="U19" s="22">
        <v>4</v>
      </c>
      <c r="V19" s="22">
        <f t="shared" si="7"/>
        <v>7</v>
      </c>
      <c r="W19" s="23">
        <f t="shared" si="8"/>
        <v>0.36363636363636365</v>
      </c>
      <c r="X19" s="43">
        <f t="shared" si="9"/>
        <v>0.63636363636363635</v>
      </c>
    </row>
    <row r="20" spans="1:24" x14ac:dyDescent="0.25">
      <c r="A20" s="14">
        <v>17</v>
      </c>
      <c r="B20" s="5">
        <v>10</v>
      </c>
      <c r="C20" s="5">
        <v>8</v>
      </c>
      <c r="D20" s="7">
        <f t="shared" si="10"/>
        <v>0.8</v>
      </c>
      <c r="E20" s="21">
        <v>17</v>
      </c>
      <c r="F20" s="22">
        <v>10</v>
      </c>
      <c r="G20" s="22">
        <v>7</v>
      </c>
      <c r="H20" s="23">
        <f t="shared" si="1"/>
        <v>0.7</v>
      </c>
      <c r="I20" s="22">
        <v>3</v>
      </c>
      <c r="J20" s="22">
        <f t="shared" si="2"/>
        <v>4</v>
      </c>
      <c r="K20" s="23">
        <f t="shared" si="3"/>
        <v>0.42857142857142855</v>
      </c>
      <c r="L20" s="43">
        <f t="shared" si="4"/>
        <v>0.5714285714285714</v>
      </c>
      <c r="M20" s="42">
        <v>17</v>
      </c>
      <c r="N20" s="10">
        <v>10</v>
      </c>
      <c r="O20" s="10">
        <v>8</v>
      </c>
      <c r="P20" s="38">
        <f t="shared" si="5"/>
        <v>0.8</v>
      </c>
      <c r="Q20" s="21">
        <v>17</v>
      </c>
      <c r="R20" s="22">
        <v>10</v>
      </c>
      <c r="S20" s="22">
        <v>9</v>
      </c>
      <c r="T20" s="23">
        <f t="shared" si="6"/>
        <v>0.9</v>
      </c>
      <c r="U20" s="22">
        <v>4</v>
      </c>
      <c r="V20" s="22">
        <f t="shared" si="7"/>
        <v>5</v>
      </c>
      <c r="W20" s="23">
        <f t="shared" si="8"/>
        <v>0.44444444444444442</v>
      </c>
      <c r="X20" s="43">
        <f t="shared" si="9"/>
        <v>0.55555555555555558</v>
      </c>
    </row>
    <row r="21" spans="1:24" x14ac:dyDescent="0.25">
      <c r="A21" s="14">
        <v>18</v>
      </c>
      <c r="B21" s="5">
        <v>10</v>
      </c>
      <c r="C21" s="5">
        <v>9</v>
      </c>
      <c r="D21" s="7">
        <f t="shared" si="10"/>
        <v>0.9</v>
      </c>
      <c r="E21" s="21">
        <v>18</v>
      </c>
      <c r="F21" s="22">
        <v>10</v>
      </c>
      <c r="G21" s="22">
        <v>8</v>
      </c>
      <c r="H21" s="23">
        <f t="shared" si="1"/>
        <v>0.8</v>
      </c>
      <c r="I21" s="22">
        <v>5</v>
      </c>
      <c r="J21" s="22">
        <f t="shared" si="2"/>
        <v>3</v>
      </c>
      <c r="K21" s="23">
        <f t="shared" si="3"/>
        <v>0.625</v>
      </c>
      <c r="L21" s="43">
        <f t="shared" si="4"/>
        <v>0.375</v>
      </c>
      <c r="M21" s="42">
        <v>18</v>
      </c>
      <c r="N21" s="10">
        <v>10</v>
      </c>
      <c r="O21" s="10">
        <v>10</v>
      </c>
      <c r="P21" s="38">
        <f t="shared" si="5"/>
        <v>1</v>
      </c>
      <c r="Q21" s="21">
        <v>18</v>
      </c>
      <c r="R21" s="22">
        <v>10</v>
      </c>
      <c r="S21" s="22">
        <v>10</v>
      </c>
      <c r="T21" s="23">
        <f t="shared" si="6"/>
        <v>1</v>
      </c>
      <c r="U21" s="22">
        <v>7</v>
      </c>
      <c r="V21" s="22">
        <f t="shared" si="7"/>
        <v>3</v>
      </c>
      <c r="W21" s="23">
        <f t="shared" si="8"/>
        <v>0.7</v>
      </c>
      <c r="X21" s="43">
        <f t="shared" si="9"/>
        <v>0.3</v>
      </c>
    </row>
    <row r="22" spans="1:24" x14ac:dyDescent="0.25">
      <c r="A22" s="14">
        <v>19</v>
      </c>
      <c r="B22" s="5">
        <v>10</v>
      </c>
      <c r="C22" s="5">
        <v>10</v>
      </c>
      <c r="D22" s="7">
        <f t="shared" si="10"/>
        <v>1</v>
      </c>
      <c r="E22" s="21">
        <v>19</v>
      </c>
      <c r="F22" s="22">
        <v>10</v>
      </c>
      <c r="G22" s="22">
        <v>10</v>
      </c>
      <c r="H22" s="23">
        <f t="shared" si="1"/>
        <v>1</v>
      </c>
      <c r="I22" s="22">
        <v>5</v>
      </c>
      <c r="J22" s="22">
        <f t="shared" si="2"/>
        <v>5</v>
      </c>
      <c r="K22" s="23">
        <f t="shared" si="3"/>
        <v>0.5</v>
      </c>
      <c r="L22" s="43">
        <f t="shared" si="4"/>
        <v>0.5</v>
      </c>
      <c r="M22" s="42">
        <v>19</v>
      </c>
      <c r="N22" s="10">
        <v>10</v>
      </c>
      <c r="O22" s="10">
        <v>8</v>
      </c>
      <c r="P22" s="38">
        <f t="shared" si="5"/>
        <v>0.8</v>
      </c>
      <c r="Q22" s="21">
        <v>19</v>
      </c>
      <c r="R22" s="22">
        <v>10</v>
      </c>
      <c r="S22" s="22">
        <v>7</v>
      </c>
      <c r="T22" s="23">
        <f t="shared" si="6"/>
        <v>0.7</v>
      </c>
      <c r="U22" s="22">
        <v>3</v>
      </c>
      <c r="V22" s="22">
        <f t="shared" si="7"/>
        <v>4</v>
      </c>
      <c r="W22" s="23">
        <f t="shared" si="8"/>
        <v>0.42857142857142855</v>
      </c>
      <c r="X22" s="43">
        <f t="shared" si="9"/>
        <v>0.5714285714285714</v>
      </c>
    </row>
    <row r="23" spans="1:24" x14ac:dyDescent="0.25">
      <c r="A23" s="14">
        <v>20</v>
      </c>
      <c r="B23" s="5">
        <v>10</v>
      </c>
      <c r="C23" s="5">
        <v>7</v>
      </c>
      <c r="D23" s="7">
        <f t="shared" si="10"/>
        <v>0.7</v>
      </c>
      <c r="E23" s="21">
        <v>20</v>
      </c>
      <c r="F23" s="22">
        <v>10</v>
      </c>
      <c r="G23" s="22">
        <v>6</v>
      </c>
      <c r="H23" s="23">
        <f t="shared" si="1"/>
        <v>0.6</v>
      </c>
      <c r="I23" s="22">
        <v>4</v>
      </c>
      <c r="J23" s="22">
        <f t="shared" si="2"/>
        <v>2</v>
      </c>
      <c r="K23" s="23">
        <f t="shared" si="3"/>
        <v>0.66666666666666663</v>
      </c>
      <c r="L23" s="43">
        <f t="shared" si="4"/>
        <v>0.33333333333333331</v>
      </c>
      <c r="M23" s="42">
        <v>20</v>
      </c>
      <c r="N23" s="10">
        <v>10</v>
      </c>
      <c r="O23" s="10">
        <v>10</v>
      </c>
      <c r="P23" s="38">
        <f t="shared" si="5"/>
        <v>1</v>
      </c>
      <c r="Q23" s="21">
        <v>20</v>
      </c>
      <c r="R23" s="22">
        <v>10</v>
      </c>
      <c r="S23" s="22">
        <v>10</v>
      </c>
      <c r="T23" s="23">
        <f t="shared" si="6"/>
        <v>1</v>
      </c>
      <c r="U23" s="22">
        <v>5</v>
      </c>
      <c r="V23" s="22">
        <f t="shared" si="7"/>
        <v>5</v>
      </c>
      <c r="W23" s="23">
        <f t="shared" si="8"/>
        <v>0.5</v>
      </c>
      <c r="X23" s="43">
        <f t="shared" si="9"/>
        <v>0.5</v>
      </c>
    </row>
    <row r="24" spans="1:24" x14ac:dyDescent="0.25">
      <c r="A24" s="14">
        <v>21</v>
      </c>
      <c r="B24" s="5">
        <v>10</v>
      </c>
      <c r="C24" s="5">
        <v>8</v>
      </c>
      <c r="D24" s="7">
        <f t="shared" si="10"/>
        <v>0.8</v>
      </c>
      <c r="E24" s="21">
        <v>21</v>
      </c>
      <c r="F24" s="22">
        <v>10</v>
      </c>
      <c r="G24" s="22">
        <v>5</v>
      </c>
      <c r="H24" s="23">
        <f t="shared" si="1"/>
        <v>0.5</v>
      </c>
      <c r="I24" s="22">
        <v>1</v>
      </c>
      <c r="J24" s="22">
        <f t="shared" si="2"/>
        <v>4</v>
      </c>
      <c r="K24" s="23">
        <f t="shared" si="3"/>
        <v>0.2</v>
      </c>
      <c r="L24" s="43">
        <f t="shared" si="4"/>
        <v>0.8</v>
      </c>
      <c r="M24" s="42">
        <v>21</v>
      </c>
      <c r="N24" s="10">
        <v>10</v>
      </c>
      <c r="O24" s="10">
        <v>9</v>
      </c>
      <c r="P24" s="38">
        <f t="shared" si="5"/>
        <v>0.9</v>
      </c>
      <c r="Q24" s="21">
        <v>21</v>
      </c>
      <c r="R24" s="22">
        <v>10</v>
      </c>
      <c r="S24" s="22">
        <v>9</v>
      </c>
      <c r="T24" s="23">
        <f t="shared" si="6"/>
        <v>0.9</v>
      </c>
      <c r="U24" s="22">
        <v>6</v>
      </c>
      <c r="V24" s="22">
        <f t="shared" si="7"/>
        <v>3</v>
      </c>
      <c r="W24" s="23">
        <f t="shared" si="8"/>
        <v>0.66666666666666663</v>
      </c>
      <c r="X24" s="43">
        <f t="shared" si="9"/>
        <v>0.33333333333333331</v>
      </c>
    </row>
    <row r="25" spans="1:24" x14ac:dyDescent="0.25">
      <c r="A25" s="14">
        <v>22</v>
      </c>
      <c r="B25" s="5">
        <v>10</v>
      </c>
      <c r="C25" s="5">
        <v>10</v>
      </c>
      <c r="D25" s="7">
        <f t="shared" si="10"/>
        <v>1</v>
      </c>
      <c r="E25" s="21">
        <v>22</v>
      </c>
      <c r="F25" s="22">
        <v>10</v>
      </c>
      <c r="G25" s="22">
        <v>7</v>
      </c>
      <c r="H25" s="23">
        <f t="shared" si="1"/>
        <v>0.7</v>
      </c>
      <c r="I25" s="22">
        <v>3</v>
      </c>
      <c r="J25" s="22">
        <f t="shared" si="2"/>
        <v>4</v>
      </c>
      <c r="K25" s="23">
        <f t="shared" si="3"/>
        <v>0.42857142857142855</v>
      </c>
      <c r="L25" s="43">
        <f t="shared" si="4"/>
        <v>0.5714285714285714</v>
      </c>
      <c r="M25" s="42">
        <v>22</v>
      </c>
      <c r="N25" s="10">
        <v>10</v>
      </c>
      <c r="O25" s="10">
        <v>9</v>
      </c>
      <c r="P25" s="38">
        <f t="shared" si="5"/>
        <v>0.9</v>
      </c>
      <c r="Q25" s="21">
        <v>22</v>
      </c>
      <c r="R25" s="22">
        <v>10</v>
      </c>
      <c r="S25" s="22">
        <v>9</v>
      </c>
      <c r="T25" s="23">
        <f t="shared" si="6"/>
        <v>0.9</v>
      </c>
      <c r="U25" s="22">
        <v>5</v>
      </c>
      <c r="V25" s="22">
        <f t="shared" si="7"/>
        <v>4</v>
      </c>
      <c r="W25" s="23">
        <f t="shared" si="8"/>
        <v>0.55555555555555558</v>
      </c>
      <c r="X25" s="43">
        <f t="shared" si="9"/>
        <v>0.44444444444444442</v>
      </c>
    </row>
    <row r="26" spans="1:24" x14ac:dyDescent="0.25">
      <c r="A26" s="14">
        <v>23</v>
      </c>
      <c r="B26" s="5">
        <v>10</v>
      </c>
      <c r="C26" s="5">
        <v>9</v>
      </c>
      <c r="D26" s="7">
        <f t="shared" si="10"/>
        <v>0.9</v>
      </c>
      <c r="E26" s="21">
        <v>23</v>
      </c>
      <c r="F26" s="22">
        <v>10</v>
      </c>
      <c r="G26" s="22">
        <v>6</v>
      </c>
      <c r="H26" s="23">
        <f t="shared" si="1"/>
        <v>0.6</v>
      </c>
      <c r="I26" s="22">
        <v>2</v>
      </c>
      <c r="J26" s="22">
        <f t="shared" si="2"/>
        <v>4</v>
      </c>
      <c r="K26" s="23">
        <f t="shared" si="3"/>
        <v>0.33333333333333331</v>
      </c>
      <c r="L26" s="43">
        <f t="shared" si="4"/>
        <v>0.66666666666666663</v>
      </c>
      <c r="M26" s="42">
        <v>23</v>
      </c>
      <c r="N26" s="10">
        <v>10</v>
      </c>
      <c r="O26" s="10">
        <v>9</v>
      </c>
      <c r="P26" s="38">
        <f t="shared" si="5"/>
        <v>0.9</v>
      </c>
      <c r="Q26" s="21">
        <v>23</v>
      </c>
      <c r="R26" s="22">
        <v>10</v>
      </c>
      <c r="S26" s="22">
        <v>8</v>
      </c>
      <c r="T26" s="23">
        <f t="shared" si="6"/>
        <v>0.8</v>
      </c>
      <c r="U26" s="22">
        <v>3</v>
      </c>
      <c r="V26" s="22">
        <f t="shared" si="7"/>
        <v>5</v>
      </c>
      <c r="W26" s="23">
        <f t="shared" si="8"/>
        <v>0.375</v>
      </c>
      <c r="X26" s="43">
        <f t="shared" si="9"/>
        <v>0.625</v>
      </c>
    </row>
    <row r="27" spans="1:24" x14ac:dyDescent="0.25">
      <c r="A27" s="14">
        <v>24</v>
      </c>
      <c r="B27" s="5">
        <v>10</v>
      </c>
      <c r="C27" s="5">
        <v>8</v>
      </c>
      <c r="D27" s="7">
        <f t="shared" si="10"/>
        <v>0.8</v>
      </c>
      <c r="E27" s="21">
        <v>24</v>
      </c>
      <c r="F27" s="22">
        <v>10</v>
      </c>
      <c r="G27" s="22">
        <v>8</v>
      </c>
      <c r="H27" s="23">
        <f t="shared" si="1"/>
        <v>0.8</v>
      </c>
      <c r="I27" s="22">
        <v>4</v>
      </c>
      <c r="J27" s="22">
        <f t="shared" si="2"/>
        <v>4</v>
      </c>
      <c r="K27" s="23">
        <f t="shared" si="3"/>
        <v>0.5</v>
      </c>
      <c r="L27" s="43">
        <f t="shared" si="4"/>
        <v>0.5</v>
      </c>
      <c r="M27" s="42">
        <v>24</v>
      </c>
      <c r="N27" s="10">
        <v>10</v>
      </c>
      <c r="O27" s="10">
        <v>9</v>
      </c>
      <c r="P27" s="38">
        <f t="shared" si="5"/>
        <v>0.9</v>
      </c>
      <c r="Q27" s="21">
        <v>24</v>
      </c>
      <c r="R27" s="22">
        <v>10</v>
      </c>
      <c r="S27" s="22">
        <v>8</v>
      </c>
      <c r="T27" s="23">
        <f t="shared" si="6"/>
        <v>0.8</v>
      </c>
      <c r="U27" s="22">
        <v>2</v>
      </c>
      <c r="V27" s="22">
        <f t="shared" si="7"/>
        <v>6</v>
      </c>
      <c r="W27" s="23">
        <f t="shared" si="8"/>
        <v>0.25</v>
      </c>
      <c r="X27" s="43">
        <f t="shared" si="9"/>
        <v>0.75</v>
      </c>
    </row>
    <row r="28" spans="1:24" x14ac:dyDescent="0.25">
      <c r="A28" s="14">
        <v>25</v>
      </c>
      <c r="B28" s="5">
        <v>11</v>
      </c>
      <c r="C28" s="5">
        <v>11</v>
      </c>
      <c r="D28" s="7">
        <f t="shared" si="10"/>
        <v>1</v>
      </c>
      <c r="E28" s="21">
        <v>25</v>
      </c>
      <c r="F28" s="22">
        <v>11</v>
      </c>
      <c r="G28" s="22">
        <v>11</v>
      </c>
      <c r="H28" s="23">
        <f t="shared" si="1"/>
        <v>1</v>
      </c>
      <c r="I28" s="22">
        <v>4</v>
      </c>
      <c r="J28" s="22">
        <f t="shared" si="2"/>
        <v>7</v>
      </c>
      <c r="K28" s="23">
        <f t="shared" si="3"/>
        <v>0.36363636363636365</v>
      </c>
      <c r="L28" s="43">
        <f t="shared" si="4"/>
        <v>0.63636363636363635</v>
      </c>
      <c r="M28" s="42">
        <v>25</v>
      </c>
      <c r="N28" s="10">
        <v>10</v>
      </c>
      <c r="O28" s="10">
        <v>9</v>
      </c>
      <c r="P28" s="38">
        <f t="shared" si="5"/>
        <v>0.9</v>
      </c>
      <c r="Q28" s="21">
        <v>25</v>
      </c>
      <c r="R28" s="22">
        <v>11</v>
      </c>
      <c r="S28" s="22">
        <v>7</v>
      </c>
      <c r="T28" s="23">
        <f t="shared" si="6"/>
        <v>0.63636363636363635</v>
      </c>
      <c r="U28" s="22">
        <v>4</v>
      </c>
      <c r="V28" s="22">
        <f t="shared" si="7"/>
        <v>3</v>
      </c>
      <c r="W28" s="23">
        <f t="shared" si="8"/>
        <v>0.5714285714285714</v>
      </c>
      <c r="X28" s="43">
        <f t="shared" si="9"/>
        <v>0.42857142857142855</v>
      </c>
    </row>
    <row r="29" spans="1:24" x14ac:dyDescent="0.25">
      <c r="A29" s="14">
        <v>26</v>
      </c>
      <c r="B29" s="5">
        <v>10</v>
      </c>
      <c r="C29" s="5">
        <v>7</v>
      </c>
      <c r="D29" s="7">
        <f t="shared" si="10"/>
        <v>0.7</v>
      </c>
      <c r="E29" s="21">
        <v>26</v>
      </c>
      <c r="F29" s="22">
        <v>10</v>
      </c>
      <c r="G29" s="22">
        <v>7</v>
      </c>
      <c r="H29" s="23">
        <f t="shared" si="1"/>
        <v>0.7</v>
      </c>
      <c r="I29" s="22">
        <v>3</v>
      </c>
      <c r="J29" s="22">
        <f t="shared" si="2"/>
        <v>4</v>
      </c>
      <c r="K29" s="23">
        <f t="shared" si="3"/>
        <v>0.42857142857142855</v>
      </c>
      <c r="L29" s="43">
        <f t="shared" si="4"/>
        <v>0.5714285714285714</v>
      </c>
      <c r="M29" s="42">
        <v>26</v>
      </c>
      <c r="N29" s="10">
        <v>10</v>
      </c>
      <c r="O29" s="10">
        <v>10</v>
      </c>
      <c r="P29" s="38">
        <f t="shared" si="5"/>
        <v>1</v>
      </c>
      <c r="Q29" s="21">
        <v>26</v>
      </c>
      <c r="R29" s="22">
        <v>10</v>
      </c>
      <c r="S29" s="22">
        <v>8</v>
      </c>
      <c r="T29" s="23">
        <f t="shared" si="6"/>
        <v>0.8</v>
      </c>
      <c r="U29" s="22">
        <v>2</v>
      </c>
      <c r="V29" s="22">
        <f t="shared" si="7"/>
        <v>6</v>
      </c>
      <c r="W29" s="23">
        <f t="shared" si="8"/>
        <v>0.25</v>
      </c>
      <c r="X29" s="43">
        <f t="shared" si="9"/>
        <v>0.75</v>
      </c>
    </row>
    <row r="30" spans="1:24" x14ac:dyDescent="0.25">
      <c r="A30" s="14">
        <v>27</v>
      </c>
      <c r="B30" s="5">
        <v>10</v>
      </c>
      <c r="C30" s="5">
        <v>7</v>
      </c>
      <c r="D30" s="7">
        <f t="shared" si="10"/>
        <v>0.7</v>
      </c>
      <c r="E30" s="21">
        <v>27</v>
      </c>
      <c r="F30" s="22">
        <v>10</v>
      </c>
      <c r="G30" s="22">
        <v>6</v>
      </c>
      <c r="H30" s="23">
        <f t="shared" si="1"/>
        <v>0.6</v>
      </c>
      <c r="I30" s="22">
        <v>4</v>
      </c>
      <c r="J30" s="22">
        <f t="shared" si="2"/>
        <v>2</v>
      </c>
      <c r="K30" s="23">
        <f t="shared" si="3"/>
        <v>0.66666666666666663</v>
      </c>
      <c r="L30" s="43">
        <f t="shared" si="4"/>
        <v>0.33333333333333331</v>
      </c>
      <c r="M30" s="42">
        <v>27</v>
      </c>
      <c r="N30" s="10">
        <v>10</v>
      </c>
      <c r="O30" s="10">
        <v>8</v>
      </c>
      <c r="P30" s="38">
        <f t="shared" si="5"/>
        <v>0.8</v>
      </c>
      <c r="Q30" s="21">
        <v>27</v>
      </c>
      <c r="R30" s="22">
        <v>10</v>
      </c>
      <c r="S30" s="22">
        <v>7</v>
      </c>
      <c r="T30" s="23">
        <f t="shared" si="6"/>
        <v>0.7</v>
      </c>
      <c r="U30" s="22">
        <v>3</v>
      </c>
      <c r="V30" s="22">
        <f t="shared" si="7"/>
        <v>4</v>
      </c>
      <c r="W30" s="23">
        <f t="shared" si="8"/>
        <v>0.42857142857142855</v>
      </c>
      <c r="X30" s="43">
        <f t="shared" si="9"/>
        <v>0.5714285714285714</v>
      </c>
    </row>
    <row r="31" spans="1:24" x14ac:dyDescent="0.25">
      <c r="A31" s="14">
        <v>28</v>
      </c>
      <c r="B31" s="5">
        <v>10</v>
      </c>
      <c r="C31" s="5">
        <v>9</v>
      </c>
      <c r="D31" s="7">
        <f t="shared" si="10"/>
        <v>0.9</v>
      </c>
      <c r="E31" s="21">
        <v>28</v>
      </c>
      <c r="F31" s="22">
        <v>10</v>
      </c>
      <c r="G31" s="22">
        <v>9</v>
      </c>
      <c r="H31" s="23">
        <f t="shared" si="1"/>
        <v>0.9</v>
      </c>
      <c r="I31" s="22">
        <v>1</v>
      </c>
      <c r="J31" s="22">
        <f t="shared" si="2"/>
        <v>8</v>
      </c>
      <c r="K31" s="23">
        <f t="shared" si="3"/>
        <v>0.1111111111111111</v>
      </c>
      <c r="L31" s="43">
        <f t="shared" si="4"/>
        <v>0.88888888888888884</v>
      </c>
      <c r="M31" s="42">
        <v>28</v>
      </c>
      <c r="N31" s="10">
        <v>10</v>
      </c>
      <c r="O31" s="10">
        <v>8</v>
      </c>
      <c r="P31" s="38">
        <f t="shared" si="5"/>
        <v>0.8</v>
      </c>
      <c r="Q31" s="21">
        <v>28</v>
      </c>
      <c r="R31" s="22">
        <v>10</v>
      </c>
      <c r="S31" s="22">
        <v>8</v>
      </c>
      <c r="T31" s="23">
        <f t="shared" si="6"/>
        <v>0.8</v>
      </c>
      <c r="U31" s="22">
        <v>5</v>
      </c>
      <c r="V31" s="22">
        <f t="shared" si="7"/>
        <v>3</v>
      </c>
      <c r="W31" s="23">
        <f t="shared" si="8"/>
        <v>0.625</v>
      </c>
      <c r="X31" s="43">
        <f t="shared" si="9"/>
        <v>0.375</v>
      </c>
    </row>
    <row r="32" spans="1:24" x14ac:dyDescent="0.25">
      <c r="A32" s="14">
        <v>29</v>
      </c>
      <c r="B32" s="5">
        <v>10</v>
      </c>
      <c r="C32" s="5">
        <v>8</v>
      </c>
      <c r="D32" s="7">
        <f t="shared" si="10"/>
        <v>0.8</v>
      </c>
      <c r="E32" s="21">
        <v>29</v>
      </c>
      <c r="F32" s="22">
        <v>10</v>
      </c>
      <c r="G32" s="22">
        <v>8</v>
      </c>
      <c r="H32" s="23">
        <f t="shared" si="1"/>
        <v>0.8</v>
      </c>
      <c r="I32" s="22">
        <v>2</v>
      </c>
      <c r="J32" s="22">
        <f t="shared" si="2"/>
        <v>6</v>
      </c>
      <c r="K32" s="23">
        <f t="shared" si="3"/>
        <v>0.25</v>
      </c>
      <c r="L32" s="43">
        <f t="shared" si="4"/>
        <v>0.75</v>
      </c>
      <c r="M32" s="42">
        <v>29</v>
      </c>
      <c r="N32" s="10">
        <v>10</v>
      </c>
      <c r="O32" s="10">
        <v>10</v>
      </c>
      <c r="P32" s="38">
        <f t="shared" si="5"/>
        <v>1</v>
      </c>
      <c r="Q32" s="21">
        <v>29</v>
      </c>
      <c r="R32" s="22">
        <v>10</v>
      </c>
      <c r="S32" s="22">
        <v>8</v>
      </c>
      <c r="T32" s="23">
        <f t="shared" si="6"/>
        <v>0.8</v>
      </c>
      <c r="U32" s="22">
        <v>5</v>
      </c>
      <c r="V32" s="22">
        <f t="shared" si="7"/>
        <v>3</v>
      </c>
      <c r="W32" s="23">
        <f t="shared" si="8"/>
        <v>0.625</v>
      </c>
      <c r="X32" s="43">
        <f t="shared" si="9"/>
        <v>0.375</v>
      </c>
    </row>
    <row r="33" spans="1:24" x14ac:dyDescent="0.25">
      <c r="A33" s="14">
        <v>30</v>
      </c>
      <c r="B33" s="5">
        <v>10</v>
      </c>
      <c r="C33" s="5">
        <v>7</v>
      </c>
      <c r="D33" s="7">
        <f t="shared" si="10"/>
        <v>0.7</v>
      </c>
      <c r="E33" s="21">
        <v>30</v>
      </c>
      <c r="F33" s="22">
        <v>10</v>
      </c>
      <c r="G33" s="22">
        <v>7</v>
      </c>
      <c r="H33" s="23">
        <f t="shared" si="1"/>
        <v>0.7</v>
      </c>
      <c r="I33" s="22">
        <v>4</v>
      </c>
      <c r="J33" s="22">
        <f t="shared" si="2"/>
        <v>3</v>
      </c>
      <c r="K33" s="23">
        <f t="shared" si="3"/>
        <v>0.5714285714285714</v>
      </c>
      <c r="L33" s="43">
        <f t="shared" si="4"/>
        <v>0.42857142857142855</v>
      </c>
      <c r="M33" s="42">
        <v>30</v>
      </c>
      <c r="N33" s="10">
        <v>10</v>
      </c>
      <c r="O33" s="10">
        <v>10</v>
      </c>
      <c r="P33" s="38">
        <f t="shared" si="5"/>
        <v>1</v>
      </c>
      <c r="Q33" s="21">
        <v>30</v>
      </c>
      <c r="R33" s="22">
        <v>10</v>
      </c>
      <c r="S33" s="22">
        <v>10</v>
      </c>
      <c r="T33" s="23">
        <f t="shared" si="6"/>
        <v>1</v>
      </c>
      <c r="U33" s="22">
        <v>4</v>
      </c>
      <c r="V33" s="22">
        <f t="shared" si="7"/>
        <v>6</v>
      </c>
      <c r="W33" s="23">
        <f t="shared" si="8"/>
        <v>0.4</v>
      </c>
      <c r="X33" s="43">
        <f t="shared" si="9"/>
        <v>0.6</v>
      </c>
    </row>
    <row r="34" spans="1:24" x14ac:dyDescent="0.25">
      <c r="A34" s="14">
        <v>31</v>
      </c>
      <c r="B34" s="5">
        <v>10</v>
      </c>
      <c r="C34" s="5">
        <v>8</v>
      </c>
      <c r="D34" s="7">
        <f t="shared" si="10"/>
        <v>0.8</v>
      </c>
      <c r="E34" s="21">
        <v>31</v>
      </c>
      <c r="F34" s="22">
        <v>10</v>
      </c>
      <c r="G34" s="22">
        <v>7</v>
      </c>
      <c r="H34" s="23">
        <f t="shared" si="1"/>
        <v>0.7</v>
      </c>
      <c r="I34" s="22">
        <v>3</v>
      </c>
      <c r="J34" s="22">
        <f t="shared" si="2"/>
        <v>4</v>
      </c>
      <c r="K34" s="23">
        <f t="shared" si="3"/>
        <v>0.42857142857142855</v>
      </c>
      <c r="L34" s="43">
        <f t="shared" si="4"/>
        <v>0.5714285714285714</v>
      </c>
      <c r="M34" s="42">
        <v>31</v>
      </c>
      <c r="N34" s="10">
        <v>10</v>
      </c>
      <c r="O34" s="10">
        <v>9</v>
      </c>
      <c r="P34" s="38">
        <f t="shared" si="5"/>
        <v>0.9</v>
      </c>
      <c r="Q34" s="21">
        <v>31</v>
      </c>
      <c r="R34" s="22">
        <v>10</v>
      </c>
      <c r="S34" s="22">
        <v>8</v>
      </c>
      <c r="T34" s="23">
        <f t="shared" si="6"/>
        <v>0.8</v>
      </c>
      <c r="U34" s="22">
        <v>4</v>
      </c>
      <c r="V34" s="22">
        <f t="shared" si="7"/>
        <v>4</v>
      </c>
      <c r="W34" s="23">
        <f t="shared" si="8"/>
        <v>0.5</v>
      </c>
      <c r="X34" s="43">
        <f t="shared" si="9"/>
        <v>0.5</v>
      </c>
    </row>
    <row r="35" spans="1:24" x14ac:dyDescent="0.25">
      <c r="A35" s="14">
        <v>32</v>
      </c>
      <c r="B35" s="5">
        <v>10</v>
      </c>
      <c r="C35" s="5">
        <v>9</v>
      </c>
      <c r="D35" s="7">
        <f t="shared" si="10"/>
        <v>0.9</v>
      </c>
      <c r="E35" s="21">
        <v>32</v>
      </c>
      <c r="F35" s="22">
        <v>10</v>
      </c>
      <c r="G35" s="22">
        <v>9</v>
      </c>
      <c r="H35" s="23">
        <f t="shared" si="1"/>
        <v>0.9</v>
      </c>
      <c r="I35" s="22">
        <v>3</v>
      </c>
      <c r="J35" s="22">
        <f t="shared" si="2"/>
        <v>6</v>
      </c>
      <c r="K35" s="23">
        <f t="shared" si="3"/>
        <v>0.33333333333333331</v>
      </c>
      <c r="L35" s="43">
        <f t="shared" si="4"/>
        <v>0.66666666666666663</v>
      </c>
      <c r="M35" s="42">
        <v>32</v>
      </c>
      <c r="N35" s="10">
        <v>10</v>
      </c>
      <c r="O35" s="10">
        <v>10</v>
      </c>
      <c r="P35" s="38">
        <f t="shared" si="5"/>
        <v>1</v>
      </c>
      <c r="Q35" s="21">
        <v>32</v>
      </c>
      <c r="R35" s="22">
        <v>10</v>
      </c>
      <c r="S35" s="22">
        <v>10</v>
      </c>
      <c r="T35" s="23">
        <f t="shared" si="6"/>
        <v>1</v>
      </c>
      <c r="U35" s="22">
        <v>4</v>
      </c>
      <c r="V35" s="22">
        <f t="shared" si="7"/>
        <v>6</v>
      </c>
      <c r="W35" s="23">
        <f t="shared" si="8"/>
        <v>0.4</v>
      </c>
      <c r="X35" s="43">
        <f t="shared" si="9"/>
        <v>0.6</v>
      </c>
    </row>
    <row r="36" spans="1:24" x14ac:dyDescent="0.25">
      <c r="A36" s="14">
        <v>33</v>
      </c>
      <c r="B36" s="5">
        <v>10</v>
      </c>
      <c r="C36" s="5">
        <v>10</v>
      </c>
      <c r="D36" s="7">
        <f t="shared" si="10"/>
        <v>1</v>
      </c>
      <c r="E36" s="21">
        <v>33</v>
      </c>
      <c r="F36" s="22">
        <v>10</v>
      </c>
      <c r="G36" s="22">
        <v>9</v>
      </c>
      <c r="H36" s="23">
        <f t="shared" si="1"/>
        <v>0.9</v>
      </c>
      <c r="I36" s="22">
        <v>5</v>
      </c>
      <c r="J36" s="22">
        <f t="shared" si="2"/>
        <v>4</v>
      </c>
      <c r="K36" s="23">
        <f t="shared" si="3"/>
        <v>0.55555555555555558</v>
      </c>
      <c r="L36" s="43">
        <f t="shared" si="4"/>
        <v>0.44444444444444442</v>
      </c>
      <c r="M36" s="42">
        <v>33</v>
      </c>
      <c r="N36" s="10">
        <v>10</v>
      </c>
      <c r="O36" s="10">
        <v>9</v>
      </c>
      <c r="P36" s="38">
        <f t="shared" si="5"/>
        <v>0.9</v>
      </c>
      <c r="Q36" s="21">
        <v>33</v>
      </c>
      <c r="R36" s="22">
        <v>10</v>
      </c>
      <c r="S36" s="22">
        <v>9</v>
      </c>
      <c r="T36" s="23">
        <f t="shared" si="6"/>
        <v>0.9</v>
      </c>
      <c r="U36" s="22">
        <v>4</v>
      </c>
      <c r="V36" s="22">
        <f t="shared" si="7"/>
        <v>5</v>
      </c>
      <c r="W36" s="23">
        <f t="shared" si="8"/>
        <v>0.44444444444444442</v>
      </c>
      <c r="X36" s="43">
        <f t="shared" si="9"/>
        <v>0.55555555555555558</v>
      </c>
    </row>
    <row r="37" spans="1:24" x14ac:dyDescent="0.25">
      <c r="A37" s="14">
        <v>34</v>
      </c>
      <c r="B37" s="5">
        <v>10</v>
      </c>
      <c r="C37" s="5">
        <v>9</v>
      </c>
      <c r="D37" s="7">
        <f t="shared" si="10"/>
        <v>0.9</v>
      </c>
      <c r="E37" s="21">
        <v>34</v>
      </c>
      <c r="F37" s="22">
        <v>10</v>
      </c>
      <c r="G37" s="22">
        <v>9</v>
      </c>
      <c r="H37" s="23">
        <f t="shared" si="1"/>
        <v>0.9</v>
      </c>
      <c r="I37" s="22">
        <v>4</v>
      </c>
      <c r="J37" s="22">
        <f t="shared" si="2"/>
        <v>5</v>
      </c>
      <c r="K37" s="23">
        <f t="shared" si="3"/>
        <v>0.44444444444444442</v>
      </c>
      <c r="L37" s="43">
        <f t="shared" si="4"/>
        <v>0.55555555555555558</v>
      </c>
      <c r="M37" s="42">
        <v>34</v>
      </c>
      <c r="N37" s="10">
        <v>10</v>
      </c>
      <c r="O37" s="10">
        <v>10</v>
      </c>
      <c r="P37" s="38">
        <f t="shared" si="5"/>
        <v>1</v>
      </c>
      <c r="Q37" s="21">
        <v>34</v>
      </c>
      <c r="R37" s="22">
        <v>10</v>
      </c>
      <c r="S37" s="22">
        <v>9</v>
      </c>
      <c r="T37" s="23">
        <f t="shared" si="6"/>
        <v>0.9</v>
      </c>
      <c r="U37" s="22">
        <v>5</v>
      </c>
      <c r="V37" s="22">
        <f t="shared" si="7"/>
        <v>4</v>
      </c>
      <c r="W37" s="23">
        <f t="shared" si="8"/>
        <v>0.55555555555555558</v>
      </c>
      <c r="X37" s="43">
        <f t="shared" si="9"/>
        <v>0.44444444444444442</v>
      </c>
    </row>
    <row r="38" spans="1:24" x14ac:dyDescent="0.25">
      <c r="A38" s="14">
        <v>35</v>
      </c>
      <c r="B38" s="5">
        <v>10</v>
      </c>
      <c r="C38" s="5">
        <v>10</v>
      </c>
      <c r="D38" s="7">
        <f t="shared" si="10"/>
        <v>1</v>
      </c>
      <c r="E38" s="21">
        <v>35</v>
      </c>
      <c r="F38" s="22">
        <v>10</v>
      </c>
      <c r="G38" s="22">
        <v>8</v>
      </c>
      <c r="H38" s="23">
        <f t="shared" si="1"/>
        <v>0.8</v>
      </c>
      <c r="I38" s="22">
        <v>1</v>
      </c>
      <c r="J38" s="22">
        <f t="shared" si="2"/>
        <v>7</v>
      </c>
      <c r="K38" s="23">
        <f t="shared" si="3"/>
        <v>0.125</v>
      </c>
      <c r="L38" s="43">
        <f t="shared" si="4"/>
        <v>0.875</v>
      </c>
      <c r="M38" s="42">
        <v>35</v>
      </c>
      <c r="N38" s="10">
        <v>10</v>
      </c>
      <c r="O38" s="10">
        <v>9</v>
      </c>
      <c r="P38" s="38">
        <f t="shared" si="5"/>
        <v>0.9</v>
      </c>
      <c r="Q38" s="21">
        <v>35</v>
      </c>
      <c r="R38" s="22">
        <v>10</v>
      </c>
      <c r="S38" s="22">
        <v>9</v>
      </c>
      <c r="T38" s="23">
        <f t="shared" si="6"/>
        <v>0.9</v>
      </c>
      <c r="U38" s="22">
        <v>2</v>
      </c>
      <c r="V38" s="22">
        <f t="shared" si="7"/>
        <v>7</v>
      </c>
      <c r="W38" s="23">
        <f t="shared" si="8"/>
        <v>0.22222222222222221</v>
      </c>
      <c r="X38" s="43">
        <f t="shared" si="9"/>
        <v>0.77777777777777779</v>
      </c>
    </row>
    <row r="39" spans="1:24" x14ac:dyDescent="0.25">
      <c r="A39" s="14"/>
      <c r="B39" s="5"/>
      <c r="C39" s="5"/>
      <c r="D39" s="5"/>
      <c r="E39" s="21"/>
      <c r="F39" s="22"/>
      <c r="G39" s="22"/>
      <c r="H39" s="22"/>
      <c r="I39" s="22"/>
      <c r="J39" s="22"/>
      <c r="K39" s="23"/>
      <c r="L39" s="44"/>
      <c r="M39" s="42"/>
      <c r="N39" s="10"/>
      <c r="O39" s="10"/>
      <c r="P39" s="10"/>
      <c r="Q39" s="21"/>
      <c r="R39" s="22"/>
      <c r="S39" s="22"/>
      <c r="T39" s="22"/>
      <c r="U39" s="22"/>
      <c r="V39" s="22"/>
      <c r="W39" s="23"/>
      <c r="X39" s="44"/>
    </row>
    <row r="40" spans="1:24" x14ac:dyDescent="0.25">
      <c r="A40" s="12" t="s">
        <v>4</v>
      </c>
      <c r="B40" s="3"/>
      <c r="C40" s="3"/>
      <c r="D40" s="8">
        <f>AVERAGE(D4:D38)</f>
        <v>0.89142857142857135</v>
      </c>
      <c r="E40" s="18" t="s">
        <v>4</v>
      </c>
      <c r="F40" s="19"/>
      <c r="G40" s="19"/>
      <c r="H40" s="25">
        <f>AVERAGE(H4:H38)</f>
        <v>0.80857142857142861</v>
      </c>
      <c r="I40" s="25"/>
      <c r="J40" s="19"/>
      <c r="K40" s="25">
        <f>AVERAGE(K4:K38)</f>
        <v>0.46624716553287981</v>
      </c>
      <c r="L40" s="45">
        <f>AVERAGE(L4:L38)</f>
        <v>0.5337528344671203</v>
      </c>
      <c r="M40" s="40" t="s">
        <v>4</v>
      </c>
      <c r="N40" s="37"/>
      <c r="O40" s="37"/>
      <c r="P40" s="39">
        <f>AVERAGE(P4:P38)</f>
        <v>0.91142857142857125</v>
      </c>
      <c r="Q40" s="18" t="s">
        <v>4</v>
      </c>
      <c r="R40" s="19"/>
      <c r="S40" s="19"/>
      <c r="T40" s="25">
        <f>AVERAGE(T4:T38)</f>
        <v>0.86467532467532471</v>
      </c>
      <c r="U40" s="25"/>
      <c r="V40" s="19"/>
      <c r="W40" s="25">
        <f>AVERAGE(W4:W38)</f>
        <v>0.489040404040404</v>
      </c>
      <c r="X40" s="45">
        <f>AVERAGE(X4:X38)</f>
        <v>0.51095959595959606</v>
      </c>
    </row>
    <row r="41" spans="1:24" ht="15.75" thickBot="1" x14ac:dyDescent="0.3">
      <c r="A41" s="17" t="s">
        <v>5</v>
      </c>
      <c r="B41" s="54"/>
      <c r="C41" s="54"/>
      <c r="D41" s="55">
        <f>STDEV(D4:D38)</f>
        <v>0.10674716850199538</v>
      </c>
      <c r="E41" s="49" t="s">
        <v>5</v>
      </c>
      <c r="F41" s="50"/>
      <c r="G41" s="50"/>
      <c r="H41" s="51">
        <f>STDEV(H4:H38)</f>
        <v>0.13366205975701284</v>
      </c>
      <c r="I41" s="52"/>
      <c r="J41" s="50"/>
      <c r="K41" s="51">
        <f>STDEV(K4:K38)</f>
        <v>0.17776472242204075</v>
      </c>
      <c r="L41" s="53">
        <f>STDEV(L4:L38)</f>
        <v>0.17776472242204047</v>
      </c>
      <c r="M41" s="46" t="s">
        <v>5</v>
      </c>
      <c r="N41" s="47"/>
      <c r="O41" s="47"/>
      <c r="P41" s="48">
        <f>STDEV(P4:P38)</f>
        <v>8.6675285070294428E-2</v>
      </c>
      <c r="Q41" s="49" t="s">
        <v>5</v>
      </c>
      <c r="R41" s="50"/>
      <c r="S41" s="50"/>
      <c r="T41" s="51">
        <f>STDEV(T4:T38)</f>
        <v>0.10787584079659022</v>
      </c>
      <c r="U41" s="52"/>
      <c r="V41" s="50"/>
      <c r="W41" s="51">
        <f>STDEV(W4:W38)</f>
        <v>0.13840355062733067</v>
      </c>
      <c r="X41" s="53">
        <f>STDEV(X4:X38)</f>
        <v>0.13840355062733012</v>
      </c>
    </row>
    <row r="42" spans="1:24" x14ac:dyDescent="0.25">
      <c r="A42" s="109"/>
      <c r="B42" s="110" t="s">
        <v>40</v>
      </c>
      <c r="C42" s="111" t="s">
        <v>39</v>
      </c>
      <c r="J42" s="5"/>
      <c r="M42" s="56"/>
      <c r="N42" s="57" t="s">
        <v>40</v>
      </c>
      <c r="O42" s="62" t="s">
        <v>39</v>
      </c>
    </row>
    <row r="43" spans="1:24" x14ac:dyDescent="0.25">
      <c r="A43" s="4" t="s">
        <v>41</v>
      </c>
      <c r="B43" s="5">
        <v>9</v>
      </c>
      <c r="C43" s="24">
        <v>12</v>
      </c>
      <c r="M43" s="14" t="s">
        <v>41</v>
      </c>
      <c r="N43" s="5">
        <v>11</v>
      </c>
      <c r="O43" s="44">
        <v>17</v>
      </c>
    </row>
    <row r="44" spans="1:24" x14ac:dyDescent="0.25">
      <c r="A44" s="4" t="s">
        <v>42</v>
      </c>
      <c r="B44" s="5">
        <f>15-B43</f>
        <v>6</v>
      </c>
      <c r="C44" s="24">
        <f>30-C43</f>
        <v>18</v>
      </c>
      <c r="M44" s="14" t="s">
        <v>42</v>
      </c>
      <c r="N44" s="5">
        <f>30-N43</f>
        <v>19</v>
      </c>
      <c r="O44" s="44">
        <f>30-O43</f>
        <v>13</v>
      </c>
    </row>
    <row r="45" spans="1:24" x14ac:dyDescent="0.25">
      <c r="A45" s="2" t="s">
        <v>43</v>
      </c>
      <c r="B45" s="11">
        <f>B43/15</f>
        <v>0.6</v>
      </c>
      <c r="C45" s="61">
        <f>C43/30</f>
        <v>0.4</v>
      </c>
      <c r="M45" s="12" t="s">
        <v>43</v>
      </c>
      <c r="N45" s="11">
        <f>N43/30</f>
        <v>0.36666666666666664</v>
      </c>
      <c r="O45" s="63">
        <f>O43/30</f>
        <v>0.56666666666666665</v>
      </c>
    </row>
    <row r="46" spans="1:24" ht="15.75" thickBot="1" x14ac:dyDescent="0.3">
      <c r="A46" s="6" t="s">
        <v>44</v>
      </c>
      <c r="B46" s="9">
        <f>B44/15</f>
        <v>0.4</v>
      </c>
      <c r="C46" s="26">
        <f>C44/30</f>
        <v>0.6</v>
      </c>
      <c r="M46" s="17" t="s">
        <v>44</v>
      </c>
      <c r="N46" s="55">
        <f>N44/30</f>
        <v>0.6333333333333333</v>
      </c>
      <c r="O46" s="53">
        <f>O44/30</f>
        <v>0.43333333333333335</v>
      </c>
    </row>
    <row r="51" spans="2:3" x14ac:dyDescent="0.25">
      <c r="B51" s="64"/>
      <c r="C51" s="29"/>
    </row>
    <row r="52" spans="2:3" x14ac:dyDescent="0.25">
      <c r="B52" s="64"/>
      <c r="C52" s="29"/>
    </row>
    <row r="53" spans="2:3" x14ac:dyDescent="0.25">
      <c r="B53" s="190"/>
      <c r="C53" s="190"/>
    </row>
    <row r="54" spans="2:3" x14ac:dyDescent="0.25">
      <c r="B54" s="190"/>
      <c r="C54" s="190"/>
    </row>
    <row r="55" spans="2:3" x14ac:dyDescent="0.25">
      <c r="B55" s="190"/>
      <c r="C55" s="190"/>
    </row>
    <row r="56" spans="2:3" x14ac:dyDescent="0.25">
      <c r="B56" s="190"/>
      <c r="C56" s="190"/>
    </row>
    <row r="57" spans="2:3" x14ac:dyDescent="0.25">
      <c r="B57" s="190"/>
      <c r="C57" s="190"/>
    </row>
    <row r="58" spans="2:3" x14ac:dyDescent="0.25">
      <c r="B58" s="64"/>
      <c r="C58" s="29"/>
    </row>
    <row r="59" spans="2:3" x14ac:dyDescent="0.25">
      <c r="B59" s="64"/>
      <c r="C59" s="29"/>
    </row>
    <row r="60" spans="2:3" x14ac:dyDescent="0.25">
      <c r="B60" s="64"/>
      <c r="C60" s="29"/>
    </row>
    <row r="61" spans="2:3" x14ac:dyDescent="0.25">
      <c r="B61" s="190"/>
      <c r="C61" s="190"/>
    </row>
    <row r="62" spans="2:3" x14ac:dyDescent="0.25">
      <c r="B62" s="190"/>
      <c r="C62" s="190"/>
    </row>
    <row r="63" spans="2:3" x14ac:dyDescent="0.25">
      <c r="B63" s="190"/>
      <c r="C63" s="190"/>
    </row>
    <row r="64" spans="2:3" x14ac:dyDescent="0.25">
      <c r="B64" s="190"/>
      <c r="C64" s="190"/>
    </row>
    <row r="65" spans="2:3" x14ac:dyDescent="0.25">
      <c r="B65" s="64"/>
      <c r="C65" s="29"/>
    </row>
  </sheetData>
  <mergeCells count="6">
    <mergeCell ref="A2:D2"/>
    <mergeCell ref="E2:L2"/>
    <mergeCell ref="A1:L1"/>
    <mergeCell ref="M1:X1"/>
    <mergeCell ref="M2:P2"/>
    <mergeCell ref="Q2:X2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X46"/>
  <sheetViews>
    <sheetView topLeftCell="A79" zoomScaleNormal="100" workbookViewId="0">
      <selection activeCell="K29" sqref="K29"/>
    </sheetView>
  </sheetViews>
  <sheetFormatPr defaultRowHeight="15" x14ac:dyDescent="0.25"/>
  <cols>
    <col min="4" max="4" width="9.85546875" customWidth="1"/>
    <col min="8" max="8" width="10.140625" customWidth="1"/>
    <col min="11" max="11" width="9.140625" style="1"/>
    <col min="12" max="12" width="10.85546875" customWidth="1"/>
    <col min="16" max="16" width="10.5703125" customWidth="1"/>
    <col min="20" max="20" width="10.85546875" customWidth="1"/>
  </cols>
  <sheetData>
    <row r="1" spans="1:24" ht="15.75" thickBot="1" x14ac:dyDescent="0.3">
      <c r="A1" s="230" t="s">
        <v>15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2"/>
      <c r="M1" s="230" t="s">
        <v>14</v>
      </c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2"/>
    </row>
    <row r="2" spans="1:24" x14ac:dyDescent="0.25">
      <c r="A2" s="225" t="s">
        <v>7</v>
      </c>
      <c r="B2" s="226"/>
      <c r="C2" s="226"/>
      <c r="D2" s="226"/>
      <c r="E2" s="227" t="s">
        <v>8</v>
      </c>
      <c r="F2" s="228"/>
      <c r="G2" s="228"/>
      <c r="H2" s="228"/>
      <c r="I2" s="228"/>
      <c r="J2" s="228"/>
      <c r="K2" s="228"/>
      <c r="L2" s="229"/>
      <c r="M2" s="225" t="s">
        <v>7</v>
      </c>
      <c r="N2" s="226"/>
      <c r="O2" s="226"/>
      <c r="P2" s="226"/>
      <c r="Q2" s="227" t="s">
        <v>8</v>
      </c>
      <c r="R2" s="228"/>
      <c r="S2" s="228"/>
      <c r="T2" s="228"/>
      <c r="U2" s="228"/>
      <c r="V2" s="228"/>
      <c r="W2" s="228"/>
      <c r="X2" s="229"/>
    </row>
    <row r="3" spans="1:24" x14ac:dyDescent="0.25">
      <c r="A3" s="12" t="s">
        <v>0</v>
      </c>
      <c r="B3" s="3" t="s">
        <v>1</v>
      </c>
      <c r="C3" s="3" t="s">
        <v>2</v>
      </c>
      <c r="D3" s="3" t="s">
        <v>3</v>
      </c>
      <c r="E3" s="18" t="s">
        <v>0</v>
      </c>
      <c r="F3" s="19" t="s">
        <v>1</v>
      </c>
      <c r="G3" s="19" t="s">
        <v>2</v>
      </c>
      <c r="H3" s="19" t="s">
        <v>3</v>
      </c>
      <c r="I3" s="19" t="s">
        <v>11</v>
      </c>
      <c r="J3" s="19" t="s">
        <v>12</v>
      </c>
      <c r="K3" s="20" t="s">
        <v>9</v>
      </c>
      <c r="L3" s="41" t="s">
        <v>10</v>
      </c>
      <c r="M3" s="12" t="s">
        <v>0</v>
      </c>
      <c r="N3" s="3" t="s">
        <v>1</v>
      </c>
      <c r="O3" s="3" t="s">
        <v>2</v>
      </c>
      <c r="P3" s="3" t="s">
        <v>3</v>
      </c>
      <c r="Q3" s="18" t="s">
        <v>0</v>
      </c>
      <c r="R3" s="19" t="s">
        <v>1</v>
      </c>
      <c r="S3" s="19" t="s">
        <v>2</v>
      </c>
      <c r="T3" s="19" t="s">
        <v>3</v>
      </c>
      <c r="U3" s="19" t="s">
        <v>11</v>
      </c>
      <c r="V3" s="19" t="s">
        <v>12</v>
      </c>
      <c r="W3" s="20" t="s">
        <v>9</v>
      </c>
      <c r="X3" s="41" t="s">
        <v>10</v>
      </c>
    </row>
    <row r="4" spans="1:24" x14ac:dyDescent="0.25">
      <c r="A4" s="14">
        <v>2</v>
      </c>
      <c r="B4" s="5">
        <v>10</v>
      </c>
      <c r="C4" s="5">
        <v>10</v>
      </c>
      <c r="D4" s="7">
        <f t="shared" ref="D4:D22" si="0">C4/B4</f>
        <v>1</v>
      </c>
      <c r="E4" s="21">
        <v>2</v>
      </c>
      <c r="F4" s="22">
        <v>10</v>
      </c>
      <c r="G4" s="22">
        <v>10</v>
      </c>
      <c r="H4" s="23">
        <f t="shared" ref="H4:H21" si="1">G4/F4</f>
        <v>1</v>
      </c>
      <c r="I4" s="22">
        <v>4</v>
      </c>
      <c r="J4" s="22">
        <f>G4-I4</f>
        <v>6</v>
      </c>
      <c r="K4" s="23">
        <f t="shared" ref="K4:K21" si="2">I4/G4</f>
        <v>0.4</v>
      </c>
      <c r="L4" s="43">
        <f t="shared" ref="L4:L21" si="3">J4/G4</f>
        <v>0.6</v>
      </c>
      <c r="M4" s="14">
        <v>1</v>
      </c>
      <c r="N4" s="5">
        <v>10</v>
      </c>
      <c r="O4" s="5">
        <v>8</v>
      </c>
      <c r="P4" s="7">
        <f>O4/N4</f>
        <v>0.8</v>
      </c>
      <c r="Q4" s="21">
        <v>1</v>
      </c>
      <c r="R4" s="22">
        <v>10</v>
      </c>
      <c r="S4" s="22">
        <v>7</v>
      </c>
      <c r="T4" s="23">
        <f>S4/R4</f>
        <v>0.7</v>
      </c>
      <c r="U4" s="22">
        <v>5</v>
      </c>
      <c r="V4" s="22">
        <f>S4-U4</f>
        <v>2</v>
      </c>
      <c r="W4" s="23">
        <f>U4/S4</f>
        <v>0.7142857142857143</v>
      </c>
      <c r="X4" s="43">
        <f>V4/S4</f>
        <v>0.2857142857142857</v>
      </c>
    </row>
    <row r="5" spans="1:24" x14ac:dyDescent="0.25">
      <c r="A5" s="14">
        <v>4</v>
      </c>
      <c r="B5" s="5">
        <v>10</v>
      </c>
      <c r="C5" s="5">
        <v>10</v>
      </c>
      <c r="D5" s="7">
        <f t="shared" si="0"/>
        <v>1</v>
      </c>
      <c r="E5" s="21">
        <v>4</v>
      </c>
      <c r="F5" s="22">
        <v>10</v>
      </c>
      <c r="G5" s="22">
        <v>8</v>
      </c>
      <c r="H5" s="23">
        <f t="shared" si="1"/>
        <v>0.8</v>
      </c>
      <c r="I5" s="22">
        <v>4</v>
      </c>
      <c r="J5" s="22">
        <f t="shared" ref="J5:J21" si="4">G5-I5</f>
        <v>4</v>
      </c>
      <c r="K5" s="23">
        <f t="shared" si="2"/>
        <v>0.5</v>
      </c>
      <c r="L5" s="43">
        <f t="shared" si="3"/>
        <v>0.5</v>
      </c>
      <c r="M5" s="14">
        <v>2</v>
      </c>
      <c r="N5" s="5">
        <v>10</v>
      </c>
      <c r="O5" s="5">
        <v>8</v>
      </c>
      <c r="P5" s="7">
        <f t="shared" ref="P5:P38" si="5">O5/N5</f>
        <v>0.8</v>
      </c>
      <c r="Q5" s="21">
        <v>2</v>
      </c>
      <c r="R5" s="22">
        <v>10</v>
      </c>
      <c r="S5" s="22">
        <v>8</v>
      </c>
      <c r="T5" s="23">
        <f t="shared" ref="T5:T38" si="6">S5/R5</f>
        <v>0.8</v>
      </c>
      <c r="U5" s="22">
        <v>3</v>
      </c>
      <c r="V5" s="22">
        <f t="shared" ref="V5:V38" si="7">S5-U5</f>
        <v>5</v>
      </c>
      <c r="W5" s="23">
        <f t="shared" ref="W5:W38" si="8">U5/S5</f>
        <v>0.375</v>
      </c>
      <c r="X5" s="43">
        <f t="shared" ref="X5:X38" si="9">V5/S5</f>
        <v>0.625</v>
      </c>
    </row>
    <row r="6" spans="1:24" x14ac:dyDescent="0.25">
      <c r="A6" s="14">
        <v>6</v>
      </c>
      <c r="B6" s="5">
        <v>10</v>
      </c>
      <c r="C6" s="5">
        <v>10</v>
      </c>
      <c r="D6" s="7">
        <f t="shared" si="0"/>
        <v>1</v>
      </c>
      <c r="E6" s="21">
        <v>6</v>
      </c>
      <c r="F6" s="22">
        <v>10</v>
      </c>
      <c r="G6" s="22">
        <v>9</v>
      </c>
      <c r="H6" s="23">
        <f t="shared" si="1"/>
        <v>0.9</v>
      </c>
      <c r="I6" s="22">
        <v>5</v>
      </c>
      <c r="J6" s="22">
        <f t="shared" si="4"/>
        <v>4</v>
      </c>
      <c r="K6" s="23">
        <f t="shared" si="2"/>
        <v>0.55555555555555558</v>
      </c>
      <c r="L6" s="43">
        <f t="shared" si="3"/>
        <v>0.44444444444444442</v>
      </c>
      <c r="M6" s="14">
        <v>3</v>
      </c>
      <c r="N6" s="5">
        <v>10</v>
      </c>
      <c r="O6" s="5">
        <v>9</v>
      </c>
      <c r="P6" s="7">
        <f t="shared" si="5"/>
        <v>0.9</v>
      </c>
      <c r="Q6" s="21">
        <v>3</v>
      </c>
      <c r="R6" s="22">
        <v>11</v>
      </c>
      <c r="S6" s="22">
        <v>10</v>
      </c>
      <c r="T6" s="23">
        <f t="shared" si="6"/>
        <v>0.90909090909090906</v>
      </c>
      <c r="U6" s="22">
        <v>5</v>
      </c>
      <c r="V6" s="22">
        <f t="shared" si="7"/>
        <v>5</v>
      </c>
      <c r="W6" s="23">
        <f t="shared" si="8"/>
        <v>0.5</v>
      </c>
      <c r="X6" s="43">
        <f t="shared" si="9"/>
        <v>0.5</v>
      </c>
    </row>
    <row r="7" spans="1:24" x14ac:dyDescent="0.25">
      <c r="A7" s="14">
        <v>7</v>
      </c>
      <c r="B7" s="5">
        <v>10</v>
      </c>
      <c r="C7" s="10">
        <v>10</v>
      </c>
      <c r="D7" s="7">
        <f t="shared" si="0"/>
        <v>1</v>
      </c>
      <c r="E7" s="21">
        <v>7</v>
      </c>
      <c r="F7" s="22">
        <v>10</v>
      </c>
      <c r="G7" s="22">
        <v>9</v>
      </c>
      <c r="H7" s="23">
        <f t="shared" si="1"/>
        <v>0.9</v>
      </c>
      <c r="I7" s="22">
        <v>4</v>
      </c>
      <c r="J7" s="22">
        <f t="shared" si="4"/>
        <v>5</v>
      </c>
      <c r="K7" s="23">
        <f t="shared" si="2"/>
        <v>0.44444444444444442</v>
      </c>
      <c r="L7" s="43">
        <f t="shared" si="3"/>
        <v>0.55555555555555558</v>
      </c>
      <c r="M7" s="14">
        <v>4</v>
      </c>
      <c r="N7" s="5">
        <v>10</v>
      </c>
      <c r="O7" s="10">
        <v>10</v>
      </c>
      <c r="P7" s="7">
        <f t="shared" si="5"/>
        <v>1</v>
      </c>
      <c r="Q7" s="21">
        <v>4</v>
      </c>
      <c r="R7" s="22">
        <v>10</v>
      </c>
      <c r="S7" s="22">
        <v>8</v>
      </c>
      <c r="T7" s="23">
        <f t="shared" si="6"/>
        <v>0.8</v>
      </c>
      <c r="U7" s="22">
        <v>3</v>
      </c>
      <c r="V7" s="22">
        <f t="shared" si="7"/>
        <v>5</v>
      </c>
      <c r="W7" s="23">
        <f t="shared" si="8"/>
        <v>0.375</v>
      </c>
      <c r="X7" s="43">
        <f t="shared" si="9"/>
        <v>0.625</v>
      </c>
    </row>
    <row r="8" spans="1:24" x14ac:dyDescent="0.25">
      <c r="A8" s="14">
        <v>10</v>
      </c>
      <c r="B8" s="5">
        <v>10</v>
      </c>
      <c r="C8" s="10">
        <v>9</v>
      </c>
      <c r="D8" s="7">
        <f t="shared" si="0"/>
        <v>0.9</v>
      </c>
      <c r="E8" s="21">
        <v>11</v>
      </c>
      <c r="F8" s="22">
        <v>10</v>
      </c>
      <c r="G8" s="22">
        <v>7</v>
      </c>
      <c r="H8" s="23">
        <f t="shared" si="1"/>
        <v>0.7</v>
      </c>
      <c r="I8" s="22">
        <v>4</v>
      </c>
      <c r="J8" s="22">
        <f t="shared" si="4"/>
        <v>3</v>
      </c>
      <c r="K8" s="23">
        <f t="shared" si="2"/>
        <v>0.5714285714285714</v>
      </c>
      <c r="L8" s="43">
        <f t="shared" si="3"/>
        <v>0.42857142857142855</v>
      </c>
      <c r="M8" s="14">
        <v>5</v>
      </c>
      <c r="N8" s="5">
        <v>10</v>
      </c>
      <c r="O8" s="10">
        <v>9</v>
      </c>
      <c r="P8" s="7">
        <f t="shared" si="5"/>
        <v>0.9</v>
      </c>
      <c r="Q8" s="21">
        <v>5</v>
      </c>
      <c r="R8" s="22">
        <v>10</v>
      </c>
      <c r="S8" s="22">
        <v>6</v>
      </c>
      <c r="T8" s="23">
        <f t="shared" si="6"/>
        <v>0.6</v>
      </c>
      <c r="U8" s="22">
        <v>2</v>
      </c>
      <c r="V8" s="22">
        <f t="shared" si="7"/>
        <v>4</v>
      </c>
      <c r="W8" s="23">
        <f t="shared" si="8"/>
        <v>0.33333333333333331</v>
      </c>
      <c r="X8" s="43">
        <f t="shared" si="9"/>
        <v>0.66666666666666663</v>
      </c>
    </row>
    <row r="9" spans="1:24" x14ac:dyDescent="0.25">
      <c r="A9" s="14">
        <v>11</v>
      </c>
      <c r="B9" s="5">
        <v>10</v>
      </c>
      <c r="C9" s="10">
        <v>8</v>
      </c>
      <c r="D9" s="7">
        <f t="shared" si="0"/>
        <v>0.8</v>
      </c>
      <c r="E9" s="21">
        <v>14</v>
      </c>
      <c r="F9" s="22">
        <v>10</v>
      </c>
      <c r="G9" s="22">
        <v>10</v>
      </c>
      <c r="H9" s="23">
        <f t="shared" si="1"/>
        <v>1</v>
      </c>
      <c r="I9" s="22">
        <v>3</v>
      </c>
      <c r="J9" s="22">
        <f t="shared" si="4"/>
        <v>7</v>
      </c>
      <c r="K9" s="23">
        <f t="shared" si="2"/>
        <v>0.3</v>
      </c>
      <c r="L9" s="43">
        <f t="shared" si="3"/>
        <v>0.7</v>
      </c>
      <c r="M9" s="14">
        <v>6</v>
      </c>
      <c r="N9" s="5">
        <v>10</v>
      </c>
      <c r="O9" s="10">
        <v>10</v>
      </c>
      <c r="P9" s="7">
        <f t="shared" si="5"/>
        <v>1</v>
      </c>
      <c r="Q9" s="21">
        <v>6</v>
      </c>
      <c r="R9" s="22">
        <v>10</v>
      </c>
      <c r="S9" s="22">
        <v>9</v>
      </c>
      <c r="T9" s="23">
        <f t="shared" si="6"/>
        <v>0.9</v>
      </c>
      <c r="U9" s="22">
        <v>3</v>
      </c>
      <c r="V9" s="22">
        <f t="shared" si="7"/>
        <v>6</v>
      </c>
      <c r="W9" s="23">
        <f t="shared" si="8"/>
        <v>0.33333333333333331</v>
      </c>
      <c r="X9" s="43">
        <f t="shared" si="9"/>
        <v>0.66666666666666663</v>
      </c>
    </row>
    <row r="10" spans="1:24" x14ac:dyDescent="0.25">
      <c r="A10" s="14">
        <v>14</v>
      </c>
      <c r="B10" s="5">
        <v>10</v>
      </c>
      <c r="C10" s="10">
        <v>10</v>
      </c>
      <c r="D10" s="7">
        <f t="shared" si="0"/>
        <v>1</v>
      </c>
      <c r="E10" s="21">
        <v>17</v>
      </c>
      <c r="F10" s="22">
        <v>10</v>
      </c>
      <c r="G10" s="22">
        <v>7</v>
      </c>
      <c r="H10" s="23">
        <f t="shared" si="1"/>
        <v>0.7</v>
      </c>
      <c r="I10" s="22">
        <v>5</v>
      </c>
      <c r="J10" s="22">
        <f t="shared" si="4"/>
        <v>2</v>
      </c>
      <c r="K10" s="23">
        <f t="shared" si="2"/>
        <v>0.7142857142857143</v>
      </c>
      <c r="L10" s="43">
        <f t="shared" si="3"/>
        <v>0.2857142857142857</v>
      </c>
      <c r="M10" s="14">
        <v>7</v>
      </c>
      <c r="N10" s="5">
        <v>10</v>
      </c>
      <c r="O10" s="10">
        <v>8</v>
      </c>
      <c r="P10" s="7">
        <f t="shared" si="5"/>
        <v>0.8</v>
      </c>
      <c r="Q10" s="21">
        <v>7</v>
      </c>
      <c r="R10" s="22">
        <v>10</v>
      </c>
      <c r="S10" s="22">
        <v>8</v>
      </c>
      <c r="T10" s="23">
        <f t="shared" si="6"/>
        <v>0.8</v>
      </c>
      <c r="U10" s="22">
        <v>5</v>
      </c>
      <c r="V10" s="22">
        <f t="shared" si="7"/>
        <v>3</v>
      </c>
      <c r="W10" s="23">
        <f t="shared" si="8"/>
        <v>0.625</v>
      </c>
      <c r="X10" s="43">
        <f t="shared" si="9"/>
        <v>0.375</v>
      </c>
    </row>
    <row r="11" spans="1:24" x14ac:dyDescent="0.25">
      <c r="A11" s="14">
        <v>17</v>
      </c>
      <c r="B11" s="5">
        <v>10</v>
      </c>
      <c r="C11" s="10">
        <v>9</v>
      </c>
      <c r="D11" s="7">
        <f t="shared" si="0"/>
        <v>0.9</v>
      </c>
      <c r="E11" s="21">
        <v>18</v>
      </c>
      <c r="F11" s="22">
        <v>10</v>
      </c>
      <c r="G11" s="22">
        <v>8</v>
      </c>
      <c r="H11" s="23">
        <f t="shared" si="1"/>
        <v>0.8</v>
      </c>
      <c r="I11" s="22">
        <v>3</v>
      </c>
      <c r="J11" s="22">
        <f t="shared" si="4"/>
        <v>5</v>
      </c>
      <c r="K11" s="23">
        <f t="shared" si="2"/>
        <v>0.375</v>
      </c>
      <c r="L11" s="43">
        <f t="shared" si="3"/>
        <v>0.625</v>
      </c>
      <c r="M11" s="14">
        <v>8</v>
      </c>
      <c r="N11" s="5">
        <v>10</v>
      </c>
      <c r="O11" s="10">
        <v>9</v>
      </c>
      <c r="P11" s="7">
        <f t="shared" si="5"/>
        <v>0.9</v>
      </c>
      <c r="Q11" s="21">
        <v>8</v>
      </c>
      <c r="R11" s="22">
        <v>10</v>
      </c>
      <c r="S11" s="22">
        <v>9</v>
      </c>
      <c r="T11" s="23">
        <f t="shared" si="6"/>
        <v>0.9</v>
      </c>
      <c r="U11" s="22">
        <v>4</v>
      </c>
      <c r="V11" s="22">
        <f t="shared" si="7"/>
        <v>5</v>
      </c>
      <c r="W11" s="23">
        <f t="shared" si="8"/>
        <v>0.44444444444444442</v>
      </c>
      <c r="X11" s="43">
        <f t="shared" si="9"/>
        <v>0.55555555555555558</v>
      </c>
    </row>
    <row r="12" spans="1:24" x14ac:dyDescent="0.25">
      <c r="A12" s="14">
        <v>18</v>
      </c>
      <c r="B12" s="5">
        <v>10</v>
      </c>
      <c r="C12" s="10">
        <v>10</v>
      </c>
      <c r="D12" s="7">
        <f t="shared" si="0"/>
        <v>1</v>
      </c>
      <c r="E12" s="21">
        <v>19</v>
      </c>
      <c r="F12" s="22">
        <v>10</v>
      </c>
      <c r="G12" s="22">
        <v>8</v>
      </c>
      <c r="H12" s="23">
        <f t="shared" si="1"/>
        <v>0.8</v>
      </c>
      <c r="I12" s="22">
        <v>4</v>
      </c>
      <c r="J12" s="22">
        <f t="shared" si="4"/>
        <v>4</v>
      </c>
      <c r="K12" s="23">
        <f t="shared" si="2"/>
        <v>0.5</v>
      </c>
      <c r="L12" s="43">
        <f t="shared" si="3"/>
        <v>0.5</v>
      </c>
      <c r="M12" s="14">
        <v>9</v>
      </c>
      <c r="N12" s="5">
        <v>10</v>
      </c>
      <c r="O12" s="10">
        <v>10</v>
      </c>
      <c r="P12" s="7">
        <f t="shared" si="5"/>
        <v>1</v>
      </c>
      <c r="Q12" s="21">
        <v>9</v>
      </c>
      <c r="R12" s="22">
        <v>10</v>
      </c>
      <c r="S12" s="22">
        <v>9</v>
      </c>
      <c r="T12" s="23">
        <f t="shared" si="6"/>
        <v>0.9</v>
      </c>
      <c r="U12" s="22">
        <v>6</v>
      </c>
      <c r="V12" s="22">
        <f t="shared" si="7"/>
        <v>3</v>
      </c>
      <c r="W12" s="23">
        <f t="shared" si="8"/>
        <v>0.66666666666666663</v>
      </c>
      <c r="X12" s="43">
        <f t="shared" si="9"/>
        <v>0.33333333333333331</v>
      </c>
    </row>
    <row r="13" spans="1:24" x14ac:dyDescent="0.25">
      <c r="A13" s="14">
        <v>19</v>
      </c>
      <c r="B13" s="5">
        <v>10</v>
      </c>
      <c r="C13" s="10">
        <v>10</v>
      </c>
      <c r="D13" s="7">
        <f t="shared" si="0"/>
        <v>1</v>
      </c>
      <c r="E13" s="21">
        <v>20</v>
      </c>
      <c r="F13" s="22">
        <v>10</v>
      </c>
      <c r="G13" s="22">
        <v>8</v>
      </c>
      <c r="H13" s="23">
        <f t="shared" si="1"/>
        <v>0.8</v>
      </c>
      <c r="I13" s="22">
        <v>4</v>
      </c>
      <c r="J13" s="22">
        <f t="shared" si="4"/>
        <v>4</v>
      </c>
      <c r="K13" s="23">
        <f t="shared" si="2"/>
        <v>0.5</v>
      </c>
      <c r="L13" s="43">
        <f t="shared" si="3"/>
        <v>0.5</v>
      </c>
      <c r="M13" s="14">
        <v>10</v>
      </c>
      <c r="N13" s="5">
        <v>10</v>
      </c>
      <c r="O13" s="10">
        <v>10</v>
      </c>
      <c r="P13" s="7">
        <f t="shared" si="5"/>
        <v>1</v>
      </c>
      <c r="Q13" s="21">
        <v>10</v>
      </c>
      <c r="R13" s="22">
        <v>10</v>
      </c>
      <c r="S13" s="22">
        <v>9</v>
      </c>
      <c r="T13" s="23">
        <f t="shared" si="6"/>
        <v>0.9</v>
      </c>
      <c r="U13" s="22">
        <v>3</v>
      </c>
      <c r="V13" s="22">
        <f t="shared" si="7"/>
        <v>6</v>
      </c>
      <c r="W13" s="23">
        <f t="shared" si="8"/>
        <v>0.33333333333333331</v>
      </c>
      <c r="X13" s="43">
        <f t="shared" si="9"/>
        <v>0.66666666666666663</v>
      </c>
    </row>
    <row r="14" spans="1:24" x14ac:dyDescent="0.25">
      <c r="A14" s="14">
        <v>20</v>
      </c>
      <c r="B14" s="5">
        <v>10</v>
      </c>
      <c r="C14" s="10">
        <v>9</v>
      </c>
      <c r="D14" s="7">
        <f t="shared" si="0"/>
        <v>0.9</v>
      </c>
      <c r="E14" s="21">
        <v>21</v>
      </c>
      <c r="F14" s="22">
        <v>10</v>
      </c>
      <c r="G14" s="22">
        <v>9</v>
      </c>
      <c r="H14" s="23">
        <f t="shared" si="1"/>
        <v>0.9</v>
      </c>
      <c r="I14" s="22">
        <v>4</v>
      </c>
      <c r="J14" s="22">
        <f t="shared" si="4"/>
        <v>5</v>
      </c>
      <c r="K14" s="23">
        <f t="shared" si="2"/>
        <v>0.44444444444444442</v>
      </c>
      <c r="L14" s="43">
        <f t="shared" si="3"/>
        <v>0.55555555555555558</v>
      </c>
      <c r="M14" s="14">
        <v>11</v>
      </c>
      <c r="N14" s="5">
        <v>10</v>
      </c>
      <c r="O14" s="10">
        <v>9</v>
      </c>
      <c r="P14" s="7">
        <f t="shared" si="5"/>
        <v>0.9</v>
      </c>
      <c r="Q14" s="21">
        <v>11</v>
      </c>
      <c r="R14" s="22">
        <v>10</v>
      </c>
      <c r="S14" s="22">
        <v>8</v>
      </c>
      <c r="T14" s="23">
        <f t="shared" si="6"/>
        <v>0.8</v>
      </c>
      <c r="U14" s="22">
        <v>5</v>
      </c>
      <c r="V14" s="22">
        <f t="shared" si="7"/>
        <v>3</v>
      </c>
      <c r="W14" s="23">
        <f t="shared" si="8"/>
        <v>0.625</v>
      </c>
      <c r="X14" s="43">
        <f t="shared" si="9"/>
        <v>0.375</v>
      </c>
    </row>
    <row r="15" spans="1:24" x14ac:dyDescent="0.25">
      <c r="A15" s="14">
        <v>21</v>
      </c>
      <c r="B15" s="5">
        <v>10</v>
      </c>
      <c r="C15" s="10">
        <v>10</v>
      </c>
      <c r="D15" s="7">
        <f t="shared" si="0"/>
        <v>1</v>
      </c>
      <c r="E15" s="21">
        <v>22</v>
      </c>
      <c r="F15" s="22">
        <v>10</v>
      </c>
      <c r="G15" s="22">
        <v>8</v>
      </c>
      <c r="H15" s="23">
        <f t="shared" si="1"/>
        <v>0.8</v>
      </c>
      <c r="I15" s="22">
        <v>4</v>
      </c>
      <c r="J15" s="22">
        <f t="shared" si="4"/>
        <v>4</v>
      </c>
      <c r="K15" s="23">
        <f t="shared" si="2"/>
        <v>0.5</v>
      </c>
      <c r="L15" s="43">
        <f t="shared" si="3"/>
        <v>0.5</v>
      </c>
      <c r="M15" s="14">
        <v>12</v>
      </c>
      <c r="N15" s="5">
        <v>10</v>
      </c>
      <c r="O15" s="10">
        <v>9</v>
      </c>
      <c r="P15" s="7">
        <f t="shared" si="5"/>
        <v>0.9</v>
      </c>
      <c r="Q15" s="21">
        <v>12</v>
      </c>
      <c r="R15" s="22">
        <v>10</v>
      </c>
      <c r="S15" s="22">
        <v>8</v>
      </c>
      <c r="T15" s="23">
        <f t="shared" si="6"/>
        <v>0.8</v>
      </c>
      <c r="U15" s="22">
        <v>5</v>
      </c>
      <c r="V15" s="22">
        <f t="shared" si="7"/>
        <v>3</v>
      </c>
      <c r="W15" s="23">
        <f t="shared" si="8"/>
        <v>0.625</v>
      </c>
      <c r="X15" s="43">
        <f t="shared" si="9"/>
        <v>0.375</v>
      </c>
    </row>
    <row r="16" spans="1:24" x14ac:dyDescent="0.25">
      <c r="A16" s="14">
        <v>22</v>
      </c>
      <c r="B16" s="5">
        <v>10</v>
      </c>
      <c r="C16" s="10">
        <v>10</v>
      </c>
      <c r="D16" s="7">
        <f t="shared" si="0"/>
        <v>1</v>
      </c>
      <c r="E16" s="21">
        <v>27</v>
      </c>
      <c r="F16" s="22">
        <v>10</v>
      </c>
      <c r="G16" s="22">
        <v>7</v>
      </c>
      <c r="H16" s="23">
        <f t="shared" si="1"/>
        <v>0.7</v>
      </c>
      <c r="I16" s="22">
        <v>1</v>
      </c>
      <c r="J16" s="22">
        <f t="shared" si="4"/>
        <v>6</v>
      </c>
      <c r="K16" s="23">
        <f t="shared" si="2"/>
        <v>0.14285714285714285</v>
      </c>
      <c r="L16" s="43">
        <f t="shared" si="3"/>
        <v>0.8571428571428571</v>
      </c>
      <c r="M16" s="14">
        <v>13</v>
      </c>
      <c r="N16" s="5">
        <v>10</v>
      </c>
      <c r="O16" s="10">
        <v>8</v>
      </c>
      <c r="P16" s="7">
        <f t="shared" si="5"/>
        <v>0.8</v>
      </c>
      <c r="Q16" s="21">
        <v>13</v>
      </c>
      <c r="R16" s="22">
        <v>10</v>
      </c>
      <c r="S16" s="22">
        <v>7</v>
      </c>
      <c r="T16" s="23">
        <f t="shared" si="6"/>
        <v>0.7</v>
      </c>
      <c r="U16" s="22">
        <v>5</v>
      </c>
      <c r="V16" s="22">
        <f t="shared" si="7"/>
        <v>2</v>
      </c>
      <c r="W16" s="23">
        <f t="shared" si="8"/>
        <v>0.7142857142857143</v>
      </c>
      <c r="X16" s="43">
        <f t="shared" si="9"/>
        <v>0.2857142857142857</v>
      </c>
    </row>
    <row r="17" spans="1:24" x14ac:dyDescent="0.25">
      <c r="A17" s="14">
        <v>27</v>
      </c>
      <c r="B17" s="5">
        <v>10</v>
      </c>
      <c r="C17" s="10">
        <v>8</v>
      </c>
      <c r="D17" s="7">
        <f t="shared" si="0"/>
        <v>0.8</v>
      </c>
      <c r="E17" s="21">
        <v>28</v>
      </c>
      <c r="F17" s="22">
        <v>10</v>
      </c>
      <c r="G17" s="22">
        <v>7</v>
      </c>
      <c r="H17" s="23">
        <f t="shared" si="1"/>
        <v>0.7</v>
      </c>
      <c r="I17" s="22">
        <v>6</v>
      </c>
      <c r="J17" s="22">
        <f t="shared" si="4"/>
        <v>1</v>
      </c>
      <c r="K17" s="23">
        <f t="shared" si="2"/>
        <v>0.8571428571428571</v>
      </c>
      <c r="L17" s="43">
        <f t="shared" si="3"/>
        <v>0.14285714285714285</v>
      </c>
      <c r="M17" s="14">
        <v>14</v>
      </c>
      <c r="N17" s="5">
        <v>10</v>
      </c>
      <c r="O17" s="10">
        <v>10</v>
      </c>
      <c r="P17" s="7">
        <f t="shared" si="5"/>
        <v>1</v>
      </c>
      <c r="Q17" s="21">
        <v>14</v>
      </c>
      <c r="R17" s="22">
        <v>10</v>
      </c>
      <c r="S17" s="22">
        <v>9</v>
      </c>
      <c r="T17" s="23">
        <f t="shared" si="6"/>
        <v>0.9</v>
      </c>
      <c r="U17" s="22">
        <v>3</v>
      </c>
      <c r="V17" s="22">
        <f t="shared" si="7"/>
        <v>6</v>
      </c>
      <c r="W17" s="23">
        <f t="shared" si="8"/>
        <v>0.33333333333333331</v>
      </c>
      <c r="X17" s="43">
        <f t="shared" si="9"/>
        <v>0.66666666666666663</v>
      </c>
    </row>
    <row r="18" spans="1:24" x14ac:dyDescent="0.25">
      <c r="A18" s="14">
        <v>28</v>
      </c>
      <c r="B18" s="5">
        <v>10</v>
      </c>
      <c r="C18" s="10">
        <v>10</v>
      </c>
      <c r="D18" s="7">
        <f t="shared" si="0"/>
        <v>1</v>
      </c>
      <c r="E18" s="21">
        <v>29</v>
      </c>
      <c r="F18" s="22">
        <v>10</v>
      </c>
      <c r="G18" s="22">
        <v>10</v>
      </c>
      <c r="H18" s="23">
        <f t="shared" si="1"/>
        <v>1</v>
      </c>
      <c r="I18" s="22">
        <v>2</v>
      </c>
      <c r="J18" s="22">
        <f t="shared" si="4"/>
        <v>8</v>
      </c>
      <c r="K18" s="23">
        <f t="shared" si="2"/>
        <v>0.2</v>
      </c>
      <c r="L18" s="43">
        <f t="shared" si="3"/>
        <v>0.8</v>
      </c>
      <c r="M18" s="14">
        <v>15</v>
      </c>
      <c r="N18" s="5">
        <v>10</v>
      </c>
      <c r="O18" s="10">
        <v>9</v>
      </c>
      <c r="P18" s="7">
        <f t="shared" si="5"/>
        <v>0.9</v>
      </c>
      <c r="Q18" s="21">
        <v>15</v>
      </c>
      <c r="R18" s="22">
        <v>10</v>
      </c>
      <c r="S18" s="22">
        <v>7</v>
      </c>
      <c r="T18" s="23">
        <f t="shared" si="6"/>
        <v>0.7</v>
      </c>
      <c r="U18" s="22">
        <v>2</v>
      </c>
      <c r="V18" s="22">
        <f t="shared" si="7"/>
        <v>5</v>
      </c>
      <c r="W18" s="23">
        <f t="shared" si="8"/>
        <v>0.2857142857142857</v>
      </c>
      <c r="X18" s="43">
        <f t="shared" si="9"/>
        <v>0.7142857142857143</v>
      </c>
    </row>
    <row r="19" spans="1:24" x14ac:dyDescent="0.25">
      <c r="A19" s="14">
        <v>29</v>
      </c>
      <c r="B19" s="5">
        <v>10</v>
      </c>
      <c r="C19" s="10">
        <v>8</v>
      </c>
      <c r="D19" s="7">
        <f t="shared" si="0"/>
        <v>0.8</v>
      </c>
      <c r="E19" s="21">
        <v>30</v>
      </c>
      <c r="F19" s="22">
        <v>10</v>
      </c>
      <c r="G19" s="22">
        <v>9</v>
      </c>
      <c r="H19" s="23">
        <f t="shared" si="1"/>
        <v>0.9</v>
      </c>
      <c r="I19" s="22">
        <v>2</v>
      </c>
      <c r="J19" s="22">
        <f t="shared" si="4"/>
        <v>7</v>
      </c>
      <c r="K19" s="23">
        <f t="shared" si="2"/>
        <v>0.22222222222222221</v>
      </c>
      <c r="L19" s="43">
        <f t="shared" si="3"/>
        <v>0.77777777777777779</v>
      </c>
      <c r="M19" s="14">
        <v>16</v>
      </c>
      <c r="N19" s="5">
        <v>10</v>
      </c>
      <c r="O19" s="10">
        <v>8</v>
      </c>
      <c r="P19" s="7">
        <f t="shared" si="5"/>
        <v>0.8</v>
      </c>
      <c r="Q19" s="21">
        <v>16</v>
      </c>
      <c r="R19" s="22">
        <v>10</v>
      </c>
      <c r="S19" s="22">
        <v>9</v>
      </c>
      <c r="T19" s="23">
        <f t="shared" si="6"/>
        <v>0.9</v>
      </c>
      <c r="U19" s="22">
        <v>5</v>
      </c>
      <c r="V19" s="22">
        <f t="shared" si="7"/>
        <v>4</v>
      </c>
      <c r="W19" s="23">
        <f t="shared" si="8"/>
        <v>0.55555555555555558</v>
      </c>
      <c r="X19" s="43">
        <f t="shared" si="9"/>
        <v>0.44444444444444442</v>
      </c>
    </row>
    <row r="20" spans="1:24" x14ac:dyDescent="0.25">
      <c r="A20" s="14">
        <v>30</v>
      </c>
      <c r="B20" s="5">
        <v>9</v>
      </c>
      <c r="C20" s="10">
        <v>9</v>
      </c>
      <c r="D20" s="7">
        <f t="shared" si="0"/>
        <v>1</v>
      </c>
      <c r="E20" s="21">
        <v>31</v>
      </c>
      <c r="F20" s="22">
        <v>10</v>
      </c>
      <c r="G20" s="22">
        <v>9</v>
      </c>
      <c r="H20" s="23">
        <f t="shared" si="1"/>
        <v>0.9</v>
      </c>
      <c r="I20" s="22">
        <v>2</v>
      </c>
      <c r="J20" s="22">
        <f t="shared" si="4"/>
        <v>7</v>
      </c>
      <c r="K20" s="23">
        <f t="shared" si="2"/>
        <v>0.22222222222222221</v>
      </c>
      <c r="L20" s="43">
        <f t="shared" si="3"/>
        <v>0.77777777777777779</v>
      </c>
      <c r="M20" s="14">
        <v>17</v>
      </c>
      <c r="N20" s="5">
        <v>10</v>
      </c>
      <c r="O20" s="10">
        <v>8</v>
      </c>
      <c r="P20" s="7">
        <f t="shared" si="5"/>
        <v>0.8</v>
      </c>
      <c r="Q20" s="21">
        <v>17</v>
      </c>
      <c r="R20" s="22">
        <v>10</v>
      </c>
      <c r="S20" s="22">
        <v>7</v>
      </c>
      <c r="T20" s="23">
        <f t="shared" si="6"/>
        <v>0.7</v>
      </c>
      <c r="U20" s="22">
        <v>3</v>
      </c>
      <c r="V20" s="22">
        <f t="shared" si="7"/>
        <v>4</v>
      </c>
      <c r="W20" s="23">
        <f t="shared" si="8"/>
        <v>0.42857142857142855</v>
      </c>
      <c r="X20" s="43">
        <f t="shared" si="9"/>
        <v>0.5714285714285714</v>
      </c>
    </row>
    <row r="21" spans="1:24" x14ac:dyDescent="0.25">
      <c r="A21" s="14">
        <v>31</v>
      </c>
      <c r="B21" s="5">
        <v>10</v>
      </c>
      <c r="C21" s="10">
        <v>10</v>
      </c>
      <c r="D21" s="7">
        <f t="shared" si="0"/>
        <v>1</v>
      </c>
      <c r="E21" s="21">
        <v>32</v>
      </c>
      <c r="F21" s="22">
        <v>10</v>
      </c>
      <c r="G21" s="22">
        <v>10</v>
      </c>
      <c r="H21" s="23">
        <f t="shared" si="1"/>
        <v>1</v>
      </c>
      <c r="I21" s="22">
        <v>5</v>
      </c>
      <c r="J21" s="22">
        <f t="shared" si="4"/>
        <v>5</v>
      </c>
      <c r="K21" s="23">
        <f t="shared" si="2"/>
        <v>0.5</v>
      </c>
      <c r="L21" s="43">
        <f t="shared" si="3"/>
        <v>0.5</v>
      </c>
      <c r="M21" s="14">
        <v>18</v>
      </c>
      <c r="N21" s="5">
        <v>10</v>
      </c>
      <c r="O21" s="10">
        <v>7</v>
      </c>
      <c r="P21" s="7">
        <f t="shared" si="5"/>
        <v>0.7</v>
      </c>
      <c r="Q21" s="21">
        <v>18</v>
      </c>
      <c r="R21" s="22">
        <v>10</v>
      </c>
      <c r="S21" s="22">
        <v>7</v>
      </c>
      <c r="T21" s="23">
        <f t="shared" si="6"/>
        <v>0.7</v>
      </c>
      <c r="U21" s="22">
        <v>2</v>
      </c>
      <c r="V21" s="22">
        <f t="shared" si="7"/>
        <v>5</v>
      </c>
      <c r="W21" s="23">
        <f t="shared" si="8"/>
        <v>0.2857142857142857</v>
      </c>
      <c r="X21" s="43">
        <f t="shared" si="9"/>
        <v>0.7142857142857143</v>
      </c>
    </row>
    <row r="22" spans="1:24" x14ac:dyDescent="0.25">
      <c r="A22" s="14">
        <v>32</v>
      </c>
      <c r="B22" s="5">
        <v>10</v>
      </c>
      <c r="C22" s="10">
        <v>8</v>
      </c>
      <c r="D22" s="7">
        <f t="shared" si="0"/>
        <v>0.8</v>
      </c>
      <c r="E22" s="21"/>
      <c r="F22" s="22"/>
      <c r="G22" s="22"/>
      <c r="H22" s="22"/>
      <c r="I22" s="22"/>
      <c r="J22" s="22"/>
      <c r="K22" s="23"/>
      <c r="L22" s="44"/>
      <c r="M22" s="14">
        <v>19</v>
      </c>
      <c r="N22" s="5">
        <v>10</v>
      </c>
      <c r="O22" s="10">
        <v>10</v>
      </c>
      <c r="P22" s="7">
        <f t="shared" si="5"/>
        <v>1</v>
      </c>
      <c r="Q22" s="21">
        <v>19</v>
      </c>
      <c r="R22" s="22">
        <v>10</v>
      </c>
      <c r="S22" s="22">
        <v>8</v>
      </c>
      <c r="T22" s="23">
        <f t="shared" si="6"/>
        <v>0.8</v>
      </c>
      <c r="U22" s="22">
        <v>2</v>
      </c>
      <c r="V22" s="22">
        <f t="shared" si="7"/>
        <v>6</v>
      </c>
      <c r="W22" s="23">
        <f t="shared" si="8"/>
        <v>0.25</v>
      </c>
      <c r="X22" s="43">
        <f t="shared" si="9"/>
        <v>0.75</v>
      </c>
    </row>
    <row r="23" spans="1:24" x14ac:dyDescent="0.25">
      <c r="A23" s="14"/>
      <c r="B23" s="5"/>
      <c r="C23" s="5"/>
      <c r="D23" s="5"/>
      <c r="E23" s="18" t="s">
        <v>4</v>
      </c>
      <c r="F23" s="19"/>
      <c r="G23" s="19"/>
      <c r="H23" s="25">
        <f>AVERAGE(H4:H21)</f>
        <v>0.85000000000000009</v>
      </c>
      <c r="I23" s="25"/>
      <c r="J23" s="19"/>
      <c r="K23" s="25">
        <f>AVERAGE(K4:K21)</f>
        <v>0.44164462081128752</v>
      </c>
      <c r="L23" s="45">
        <f>AVERAGE(L4:L21)</f>
        <v>0.55835537918871259</v>
      </c>
      <c r="M23" s="14">
        <v>20</v>
      </c>
      <c r="N23" s="5">
        <v>10</v>
      </c>
      <c r="O23" s="10">
        <v>9</v>
      </c>
      <c r="P23" s="7">
        <f t="shared" si="5"/>
        <v>0.9</v>
      </c>
      <c r="Q23" s="21">
        <v>20</v>
      </c>
      <c r="R23" s="22">
        <v>10</v>
      </c>
      <c r="S23" s="22">
        <v>8</v>
      </c>
      <c r="T23" s="23">
        <f t="shared" si="6"/>
        <v>0.8</v>
      </c>
      <c r="U23" s="22">
        <v>4</v>
      </c>
      <c r="V23" s="22">
        <f t="shared" si="7"/>
        <v>4</v>
      </c>
      <c r="W23" s="23">
        <f t="shared" si="8"/>
        <v>0.5</v>
      </c>
      <c r="X23" s="43">
        <f t="shared" si="9"/>
        <v>0.5</v>
      </c>
    </row>
    <row r="24" spans="1:24" ht="15.75" thickBot="1" x14ac:dyDescent="0.3">
      <c r="A24" s="12" t="s">
        <v>4</v>
      </c>
      <c r="B24" s="3"/>
      <c r="C24" s="3"/>
      <c r="D24" s="8">
        <f>AVERAGE(D4:D22)</f>
        <v>0.94210526315789489</v>
      </c>
      <c r="E24" s="49" t="s">
        <v>5</v>
      </c>
      <c r="F24" s="50"/>
      <c r="G24" s="50"/>
      <c r="H24" s="51">
        <f>STDEV(H4:H21)</f>
        <v>0.10981267472114443</v>
      </c>
      <c r="I24" s="52"/>
      <c r="J24" s="50"/>
      <c r="K24" s="51">
        <f>STDEV(K4:K21)</f>
        <v>0.18214916170198664</v>
      </c>
      <c r="L24" s="53">
        <f>STDEV(L4:L21)</f>
        <v>0.18214916170198658</v>
      </c>
      <c r="M24" s="14">
        <v>21</v>
      </c>
      <c r="N24" s="5">
        <v>10</v>
      </c>
      <c r="O24" s="10">
        <v>8</v>
      </c>
      <c r="P24" s="7">
        <f t="shared" si="5"/>
        <v>0.8</v>
      </c>
      <c r="Q24" s="21">
        <v>21</v>
      </c>
      <c r="R24" s="22">
        <v>10</v>
      </c>
      <c r="S24" s="22">
        <v>8</v>
      </c>
      <c r="T24" s="23">
        <f t="shared" si="6"/>
        <v>0.8</v>
      </c>
      <c r="U24" s="22">
        <v>4</v>
      </c>
      <c r="V24" s="22">
        <f t="shared" si="7"/>
        <v>4</v>
      </c>
      <c r="W24" s="23">
        <f t="shared" si="8"/>
        <v>0.5</v>
      </c>
      <c r="X24" s="43">
        <f t="shared" si="9"/>
        <v>0.5</v>
      </c>
    </row>
    <row r="25" spans="1:24" ht="15.75" thickBot="1" x14ac:dyDescent="0.3">
      <c r="A25" s="17" t="s">
        <v>5</v>
      </c>
      <c r="B25" s="54"/>
      <c r="C25" s="54"/>
      <c r="D25" s="55">
        <f>STDEV(D4:D22)</f>
        <v>8.377078165833908E-2</v>
      </c>
      <c r="J25" s="5"/>
      <c r="M25" s="14">
        <v>22</v>
      </c>
      <c r="N25" s="5">
        <v>10</v>
      </c>
      <c r="O25" s="10">
        <v>10</v>
      </c>
      <c r="P25" s="7">
        <f t="shared" si="5"/>
        <v>1</v>
      </c>
      <c r="Q25" s="21">
        <v>22</v>
      </c>
      <c r="R25" s="22">
        <v>10</v>
      </c>
      <c r="S25" s="22">
        <v>5</v>
      </c>
      <c r="T25" s="23">
        <f t="shared" si="6"/>
        <v>0.5</v>
      </c>
      <c r="U25" s="22">
        <v>5</v>
      </c>
      <c r="V25" s="22">
        <f t="shared" si="7"/>
        <v>0</v>
      </c>
      <c r="W25" s="23">
        <f t="shared" si="8"/>
        <v>1</v>
      </c>
      <c r="X25" s="43">
        <f t="shared" si="9"/>
        <v>0</v>
      </c>
    </row>
    <row r="26" spans="1:24" x14ac:dyDescent="0.25">
      <c r="A26" s="109"/>
      <c r="B26" s="110" t="s">
        <v>40</v>
      </c>
      <c r="C26" s="111" t="s">
        <v>39</v>
      </c>
      <c r="M26" s="14">
        <v>23</v>
      </c>
      <c r="N26" s="5">
        <v>10</v>
      </c>
      <c r="O26" s="10">
        <v>10</v>
      </c>
      <c r="P26" s="7">
        <f t="shared" si="5"/>
        <v>1</v>
      </c>
      <c r="Q26" s="21">
        <v>23</v>
      </c>
      <c r="R26" s="22">
        <v>10</v>
      </c>
      <c r="S26" s="22">
        <v>9</v>
      </c>
      <c r="T26" s="23">
        <f t="shared" si="6"/>
        <v>0.9</v>
      </c>
      <c r="U26" s="22">
        <v>5</v>
      </c>
      <c r="V26" s="22">
        <f t="shared" si="7"/>
        <v>4</v>
      </c>
      <c r="W26" s="23">
        <f t="shared" si="8"/>
        <v>0.55555555555555558</v>
      </c>
      <c r="X26" s="43">
        <f t="shared" si="9"/>
        <v>0.44444444444444442</v>
      </c>
    </row>
    <row r="27" spans="1:24" x14ac:dyDescent="0.25">
      <c r="A27" s="4" t="s">
        <v>41</v>
      </c>
      <c r="B27" s="233" t="s">
        <v>178</v>
      </c>
      <c r="C27" s="24"/>
      <c r="M27" s="14">
        <v>24</v>
      </c>
      <c r="N27" s="5">
        <v>10</v>
      </c>
      <c r="O27" s="10">
        <v>8</v>
      </c>
      <c r="P27" s="7">
        <f t="shared" si="5"/>
        <v>0.8</v>
      </c>
      <c r="Q27" s="21">
        <v>24</v>
      </c>
      <c r="R27" s="22">
        <v>10</v>
      </c>
      <c r="S27" s="22">
        <v>6</v>
      </c>
      <c r="T27" s="23">
        <f t="shared" si="6"/>
        <v>0.6</v>
      </c>
      <c r="U27" s="22">
        <v>2</v>
      </c>
      <c r="V27" s="22">
        <f t="shared" si="7"/>
        <v>4</v>
      </c>
      <c r="W27" s="23">
        <f t="shared" si="8"/>
        <v>0.33333333333333331</v>
      </c>
      <c r="X27" s="43">
        <f t="shared" si="9"/>
        <v>0.66666666666666663</v>
      </c>
    </row>
    <row r="28" spans="1:24" x14ac:dyDescent="0.25">
      <c r="A28" s="4" t="s">
        <v>42</v>
      </c>
      <c r="B28" s="233"/>
      <c r="C28" s="24">
        <f>30-C27</f>
        <v>30</v>
      </c>
      <c r="M28" s="14">
        <v>25</v>
      </c>
      <c r="N28" s="5">
        <v>10</v>
      </c>
      <c r="O28" s="10">
        <v>7</v>
      </c>
      <c r="P28" s="7">
        <f t="shared" si="5"/>
        <v>0.7</v>
      </c>
      <c r="Q28" s="21">
        <v>25</v>
      </c>
      <c r="R28" s="22">
        <v>11</v>
      </c>
      <c r="S28" s="22">
        <v>6</v>
      </c>
      <c r="T28" s="23">
        <f t="shared" si="6"/>
        <v>0.54545454545454541</v>
      </c>
      <c r="U28" s="22">
        <v>2</v>
      </c>
      <c r="V28" s="22">
        <f t="shared" si="7"/>
        <v>4</v>
      </c>
      <c r="W28" s="23">
        <f t="shared" si="8"/>
        <v>0.33333333333333331</v>
      </c>
      <c r="X28" s="43">
        <f t="shared" si="9"/>
        <v>0.66666666666666663</v>
      </c>
    </row>
    <row r="29" spans="1:24" x14ac:dyDescent="0.25">
      <c r="A29" s="2" t="s">
        <v>43</v>
      </c>
      <c r="B29" s="233"/>
      <c r="C29" s="61">
        <f>C27/30</f>
        <v>0</v>
      </c>
      <c r="M29" s="14">
        <v>26</v>
      </c>
      <c r="N29" s="5">
        <v>10</v>
      </c>
      <c r="O29" s="10">
        <v>7</v>
      </c>
      <c r="P29" s="7">
        <f t="shared" si="5"/>
        <v>0.7</v>
      </c>
      <c r="Q29" s="21">
        <v>26</v>
      </c>
      <c r="R29" s="22">
        <v>10</v>
      </c>
      <c r="S29" s="22">
        <v>6</v>
      </c>
      <c r="T29" s="23">
        <f t="shared" si="6"/>
        <v>0.6</v>
      </c>
      <c r="U29" s="22">
        <v>1</v>
      </c>
      <c r="V29" s="22">
        <f t="shared" si="7"/>
        <v>5</v>
      </c>
      <c r="W29" s="23">
        <f t="shared" si="8"/>
        <v>0.16666666666666666</v>
      </c>
      <c r="X29" s="43">
        <f t="shared" si="9"/>
        <v>0.83333333333333337</v>
      </c>
    </row>
    <row r="30" spans="1:24" x14ac:dyDescent="0.25">
      <c r="A30" s="6" t="s">
        <v>44</v>
      </c>
      <c r="B30" s="234"/>
      <c r="C30" s="26">
        <f>C28/30</f>
        <v>1</v>
      </c>
      <c r="M30" s="14">
        <v>27</v>
      </c>
      <c r="N30" s="5">
        <v>12</v>
      </c>
      <c r="O30" s="10">
        <v>12</v>
      </c>
      <c r="P30" s="7">
        <f t="shared" si="5"/>
        <v>1</v>
      </c>
      <c r="Q30" s="21">
        <v>27</v>
      </c>
      <c r="R30" s="22">
        <v>10</v>
      </c>
      <c r="S30" s="22">
        <v>9</v>
      </c>
      <c r="T30" s="23">
        <f t="shared" si="6"/>
        <v>0.9</v>
      </c>
      <c r="U30" s="22">
        <v>6</v>
      </c>
      <c r="V30" s="22">
        <f t="shared" si="7"/>
        <v>3</v>
      </c>
      <c r="W30" s="23">
        <f t="shared" si="8"/>
        <v>0.66666666666666663</v>
      </c>
      <c r="X30" s="43">
        <f t="shared" si="9"/>
        <v>0.33333333333333331</v>
      </c>
    </row>
    <row r="31" spans="1:24" x14ac:dyDescent="0.25">
      <c r="M31" s="14">
        <v>28</v>
      </c>
      <c r="N31" s="5">
        <v>10</v>
      </c>
      <c r="O31" s="10">
        <v>8</v>
      </c>
      <c r="P31" s="7">
        <f t="shared" si="5"/>
        <v>0.8</v>
      </c>
      <c r="Q31" s="21">
        <v>28</v>
      </c>
      <c r="R31" s="22">
        <v>10</v>
      </c>
      <c r="S31" s="22">
        <v>6</v>
      </c>
      <c r="T31" s="23">
        <f t="shared" si="6"/>
        <v>0.6</v>
      </c>
      <c r="U31" s="22">
        <v>3</v>
      </c>
      <c r="V31" s="22">
        <f t="shared" si="7"/>
        <v>3</v>
      </c>
      <c r="W31" s="23">
        <f t="shared" si="8"/>
        <v>0.5</v>
      </c>
      <c r="X31" s="43">
        <f t="shared" si="9"/>
        <v>0.5</v>
      </c>
    </row>
    <row r="32" spans="1:24" x14ac:dyDescent="0.25">
      <c r="M32" s="14">
        <v>29</v>
      </c>
      <c r="N32" s="5">
        <v>10</v>
      </c>
      <c r="O32" s="10">
        <v>9</v>
      </c>
      <c r="P32" s="7">
        <f t="shared" si="5"/>
        <v>0.9</v>
      </c>
      <c r="Q32" s="21">
        <v>29</v>
      </c>
      <c r="R32" s="22">
        <v>10</v>
      </c>
      <c r="S32" s="22">
        <v>6</v>
      </c>
      <c r="T32" s="23">
        <f t="shared" si="6"/>
        <v>0.6</v>
      </c>
      <c r="U32" s="22">
        <v>3</v>
      </c>
      <c r="V32" s="22">
        <f t="shared" si="7"/>
        <v>3</v>
      </c>
      <c r="W32" s="23">
        <f t="shared" si="8"/>
        <v>0.5</v>
      </c>
      <c r="X32" s="43">
        <f t="shared" si="9"/>
        <v>0.5</v>
      </c>
    </row>
    <row r="33" spans="13:24" x14ac:dyDescent="0.25">
      <c r="M33" s="14">
        <v>30</v>
      </c>
      <c r="N33" s="5">
        <v>10</v>
      </c>
      <c r="O33" s="10">
        <v>9</v>
      </c>
      <c r="P33" s="7">
        <f t="shared" si="5"/>
        <v>0.9</v>
      </c>
      <c r="Q33" s="21">
        <v>30</v>
      </c>
      <c r="R33" s="22">
        <v>10</v>
      </c>
      <c r="S33" s="22">
        <v>9</v>
      </c>
      <c r="T33" s="23">
        <f t="shared" si="6"/>
        <v>0.9</v>
      </c>
      <c r="U33" s="22">
        <v>5</v>
      </c>
      <c r="V33" s="22">
        <f t="shared" si="7"/>
        <v>4</v>
      </c>
      <c r="W33" s="23">
        <f t="shared" si="8"/>
        <v>0.55555555555555558</v>
      </c>
      <c r="X33" s="43">
        <f t="shared" si="9"/>
        <v>0.44444444444444442</v>
      </c>
    </row>
    <row r="34" spans="13:24" x14ac:dyDescent="0.25">
      <c r="M34" s="14">
        <v>31</v>
      </c>
      <c r="N34" s="5">
        <v>10</v>
      </c>
      <c r="O34" s="10">
        <v>7</v>
      </c>
      <c r="P34" s="7">
        <f t="shared" si="5"/>
        <v>0.7</v>
      </c>
      <c r="Q34" s="21">
        <v>31</v>
      </c>
      <c r="R34" s="22">
        <v>10</v>
      </c>
      <c r="S34" s="22">
        <v>7</v>
      </c>
      <c r="T34" s="23">
        <f t="shared" si="6"/>
        <v>0.7</v>
      </c>
      <c r="U34" s="22">
        <v>4</v>
      </c>
      <c r="V34" s="22">
        <f t="shared" si="7"/>
        <v>3</v>
      </c>
      <c r="W34" s="23">
        <f t="shared" si="8"/>
        <v>0.5714285714285714</v>
      </c>
      <c r="X34" s="43">
        <f t="shared" si="9"/>
        <v>0.42857142857142855</v>
      </c>
    </row>
    <row r="35" spans="13:24" x14ac:dyDescent="0.25">
      <c r="M35" s="14">
        <v>32</v>
      </c>
      <c r="N35" s="5">
        <v>10</v>
      </c>
      <c r="O35" s="10">
        <v>9</v>
      </c>
      <c r="P35" s="7">
        <f t="shared" si="5"/>
        <v>0.9</v>
      </c>
      <c r="Q35" s="21">
        <v>32</v>
      </c>
      <c r="R35" s="22">
        <v>10</v>
      </c>
      <c r="S35" s="22">
        <v>10</v>
      </c>
      <c r="T35" s="23">
        <f t="shared" si="6"/>
        <v>1</v>
      </c>
      <c r="U35" s="22">
        <v>7</v>
      </c>
      <c r="V35" s="22">
        <f t="shared" si="7"/>
        <v>3</v>
      </c>
      <c r="W35" s="23">
        <f t="shared" si="8"/>
        <v>0.7</v>
      </c>
      <c r="X35" s="43">
        <f t="shared" si="9"/>
        <v>0.3</v>
      </c>
    </row>
    <row r="36" spans="13:24" x14ac:dyDescent="0.25">
      <c r="M36" s="14">
        <v>33</v>
      </c>
      <c r="N36" s="5">
        <v>10</v>
      </c>
      <c r="O36" s="10">
        <v>10</v>
      </c>
      <c r="P36" s="7">
        <f t="shared" si="5"/>
        <v>1</v>
      </c>
      <c r="Q36" s="21">
        <v>33</v>
      </c>
      <c r="R36" s="22">
        <v>10</v>
      </c>
      <c r="S36" s="22">
        <v>9</v>
      </c>
      <c r="T36" s="23">
        <f t="shared" si="6"/>
        <v>0.9</v>
      </c>
      <c r="U36" s="22">
        <v>3</v>
      </c>
      <c r="V36" s="22">
        <f t="shared" si="7"/>
        <v>6</v>
      </c>
      <c r="W36" s="23">
        <f t="shared" si="8"/>
        <v>0.33333333333333331</v>
      </c>
      <c r="X36" s="43">
        <f t="shared" si="9"/>
        <v>0.66666666666666663</v>
      </c>
    </row>
    <row r="37" spans="13:24" x14ac:dyDescent="0.25">
      <c r="M37" s="14">
        <v>34</v>
      </c>
      <c r="N37" s="5">
        <v>10</v>
      </c>
      <c r="O37" s="10">
        <v>7</v>
      </c>
      <c r="P37" s="7">
        <f t="shared" si="5"/>
        <v>0.7</v>
      </c>
      <c r="Q37" s="21">
        <v>34</v>
      </c>
      <c r="R37" s="22">
        <v>10</v>
      </c>
      <c r="S37" s="22">
        <v>2</v>
      </c>
      <c r="T37" s="23">
        <f t="shared" si="6"/>
        <v>0.2</v>
      </c>
      <c r="U37" s="22">
        <v>1</v>
      </c>
      <c r="V37" s="22">
        <f t="shared" si="7"/>
        <v>1</v>
      </c>
      <c r="W37" s="23">
        <f t="shared" si="8"/>
        <v>0.5</v>
      </c>
      <c r="X37" s="43">
        <f t="shared" si="9"/>
        <v>0.5</v>
      </c>
    </row>
    <row r="38" spans="13:24" x14ac:dyDescent="0.25">
      <c r="M38" s="14">
        <v>35</v>
      </c>
      <c r="N38" s="5">
        <v>10</v>
      </c>
      <c r="O38" s="10">
        <v>10</v>
      </c>
      <c r="P38" s="7">
        <f t="shared" si="5"/>
        <v>1</v>
      </c>
      <c r="Q38" s="21">
        <v>35</v>
      </c>
      <c r="R38" s="22">
        <v>10</v>
      </c>
      <c r="S38" s="22">
        <v>8</v>
      </c>
      <c r="T38" s="23">
        <f t="shared" si="6"/>
        <v>0.8</v>
      </c>
      <c r="U38" s="22">
        <v>6</v>
      </c>
      <c r="V38" s="22">
        <f t="shared" si="7"/>
        <v>2</v>
      </c>
      <c r="W38" s="23">
        <f t="shared" si="8"/>
        <v>0.75</v>
      </c>
      <c r="X38" s="43">
        <f t="shared" si="9"/>
        <v>0.25</v>
      </c>
    </row>
    <row r="39" spans="13:24" x14ac:dyDescent="0.25">
      <c r="M39" s="14"/>
      <c r="N39" s="5"/>
      <c r="O39" s="5"/>
      <c r="P39" s="5"/>
      <c r="Q39" s="21"/>
      <c r="R39" s="22"/>
      <c r="S39" s="22"/>
      <c r="T39" s="22"/>
      <c r="U39" s="22"/>
      <c r="V39" s="22"/>
      <c r="W39" s="23"/>
      <c r="X39" s="44"/>
    </row>
    <row r="40" spans="13:24" x14ac:dyDescent="0.25">
      <c r="M40" s="12" t="s">
        <v>4</v>
      </c>
      <c r="N40" s="3"/>
      <c r="O40" s="3"/>
      <c r="P40" s="8">
        <f>AVERAGE(P4:P38)</f>
        <v>0.87714285714285711</v>
      </c>
      <c r="Q40" s="18" t="s">
        <v>4</v>
      </c>
      <c r="R40" s="19"/>
      <c r="S40" s="19"/>
      <c r="T40" s="25">
        <f>AVERAGE(T4:T38)</f>
        <v>0.75870129870129865</v>
      </c>
      <c r="U40" s="25"/>
      <c r="V40" s="19"/>
      <c r="W40" s="25">
        <f>AVERAGE(W4:W38)</f>
        <v>0.49341269841269836</v>
      </c>
      <c r="X40" s="45">
        <f>AVERAGE(X4:X38)</f>
        <v>0.50658730158730159</v>
      </c>
    </row>
    <row r="41" spans="13:24" ht="15.75" thickBot="1" x14ac:dyDescent="0.3">
      <c r="M41" s="17" t="s">
        <v>5</v>
      </c>
      <c r="N41" s="54"/>
      <c r="O41" s="54"/>
      <c r="P41" s="55">
        <f>STDEV(P4:P38)</f>
        <v>0.10595702315704414</v>
      </c>
      <c r="Q41" s="49" t="s">
        <v>5</v>
      </c>
      <c r="R41" s="50"/>
      <c r="S41" s="50"/>
      <c r="T41" s="51">
        <f>STDEV(T4:T38)</f>
        <v>0.15968708549963048</v>
      </c>
      <c r="U41" s="52"/>
      <c r="V41" s="50"/>
      <c r="W41" s="51">
        <f>STDEV(W4:W38)</f>
        <v>0.17648034402854934</v>
      </c>
      <c r="X41" s="53">
        <f>STDEV(X4:X38)</f>
        <v>0.17648034402854934</v>
      </c>
    </row>
    <row r="42" spans="13:24" x14ac:dyDescent="0.25">
      <c r="M42" s="109"/>
      <c r="N42" s="110" t="s">
        <v>40</v>
      </c>
      <c r="O42" s="111" t="s">
        <v>39</v>
      </c>
    </row>
    <row r="43" spans="13:24" x14ac:dyDescent="0.25">
      <c r="M43" s="4" t="s">
        <v>41</v>
      </c>
      <c r="N43" s="5">
        <v>17</v>
      </c>
      <c r="O43" s="24">
        <v>16</v>
      </c>
    </row>
    <row r="44" spans="13:24" x14ac:dyDescent="0.25">
      <c r="M44" s="4" t="s">
        <v>42</v>
      </c>
      <c r="N44" s="5">
        <f>30-N43</f>
        <v>13</v>
      </c>
      <c r="O44" s="24">
        <f>30-O43</f>
        <v>14</v>
      </c>
    </row>
    <row r="45" spans="13:24" x14ac:dyDescent="0.25">
      <c r="M45" s="2" t="s">
        <v>43</v>
      </c>
      <c r="N45" s="11">
        <f>N43/30</f>
        <v>0.56666666666666665</v>
      </c>
      <c r="O45" s="61">
        <f>O43/30</f>
        <v>0.53333333333333333</v>
      </c>
    </row>
    <row r="46" spans="13:24" x14ac:dyDescent="0.25">
      <c r="M46" s="6" t="s">
        <v>44</v>
      </c>
      <c r="N46" s="9">
        <f>N44/30</f>
        <v>0.43333333333333335</v>
      </c>
      <c r="O46" s="26">
        <f>O44/30</f>
        <v>0.46666666666666667</v>
      </c>
    </row>
  </sheetData>
  <mergeCells count="7">
    <mergeCell ref="B27:B30"/>
    <mergeCell ref="A1:L1"/>
    <mergeCell ref="A2:D2"/>
    <mergeCell ref="E2:L2"/>
    <mergeCell ref="M1:X1"/>
    <mergeCell ref="M2:P2"/>
    <mergeCell ref="Q2:X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Q70"/>
  <sheetViews>
    <sheetView workbookViewId="0">
      <selection activeCell="M54" sqref="M54"/>
    </sheetView>
  </sheetViews>
  <sheetFormatPr defaultRowHeight="15" x14ac:dyDescent="0.25"/>
  <cols>
    <col min="2" max="2" width="11.28515625" customWidth="1"/>
    <col min="4" max="6" width="11.7109375" customWidth="1"/>
    <col min="7" max="7" width="16" customWidth="1"/>
    <col min="9" max="9" width="10.7109375" customWidth="1"/>
    <col min="11" max="11" width="10.85546875" customWidth="1"/>
    <col min="12" max="13" width="11.7109375" customWidth="1"/>
    <col min="14" max="14" width="16" customWidth="1"/>
  </cols>
  <sheetData>
    <row r="1" spans="1:14" x14ac:dyDescent="0.25">
      <c r="A1" s="238" t="s">
        <v>16</v>
      </c>
      <c r="B1" s="239"/>
      <c r="C1" s="239"/>
      <c r="D1" s="239"/>
      <c r="E1" s="239"/>
      <c r="F1" s="239"/>
      <c r="G1" s="240"/>
      <c r="H1" s="238" t="s">
        <v>17</v>
      </c>
      <c r="I1" s="239"/>
      <c r="J1" s="239"/>
      <c r="K1" s="239"/>
      <c r="L1" s="239"/>
      <c r="M1" s="239"/>
      <c r="N1" s="240"/>
    </row>
    <row r="2" spans="1:14" x14ac:dyDescent="0.25">
      <c r="A2" s="242" t="s">
        <v>18</v>
      </c>
      <c r="B2" s="243"/>
      <c r="C2" s="228" t="s">
        <v>19</v>
      </c>
      <c r="D2" s="228"/>
      <c r="E2" s="236" t="s">
        <v>127</v>
      </c>
      <c r="F2" s="236" t="s">
        <v>12</v>
      </c>
      <c r="G2" s="244" t="s">
        <v>167</v>
      </c>
      <c r="H2" s="242" t="s">
        <v>18</v>
      </c>
      <c r="I2" s="243"/>
      <c r="J2" s="228" t="s">
        <v>19</v>
      </c>
      <c r="K2" s="228"/>
      <c r="L2" s="241" t="s">
        <v>127</v>
      </c>
      <c r="M2" s="236" t="s">
        <v>12</v>
      </c>
      <c r="N2" s="237" t="s">
        <v>167</v>
      </c>
    </row>
    <row r="3" spans="1:14" x14ac:dyDescent="0.25">
      <c r="A3" s="12" t="s">
        <v>0</v>
      </c>
      <c r="B3" s="3" t="s">
        <v>20</v>
      </c>
      <c r="C3" s="19" t="s">
        <v>0</v>
      </c>
      <c r="D3" s="19" t="s">
        <v>20</v>
      </c>
      <c r="E3" s="236"/>
      <c r="F3" s="236"/>
      <c r="G3" s="244"/>
      <c r="H3" s="12" t="s">
        <v>0</v>
      </c>
      <c r="I3" s="3" t="s">
        <v>20</v>
      </c>
      <c r="J3" s="19" t="s">
        <v>0</v>
      </c>
      <c r="K3" s="19" t="s">
        <v>20</v>
      </c>
      <c r="L3" s="241"/>
      <c r="M3" s="236"/>
      <c r="N3" s="237"/>
    </row>
    <row r="4" spans="1:14" x14ac:dyDescent="0.25">
      <c r="A4" s="14">
        <v>1</v>
      </c>
      <c r="B4" s="5">
        <v>0</v>
      </c>
      <c r="C4" s="22">
        <v>1</v>
      </c>
      <c r="D4" s="22">
        <v>18</v>
      </c>
      <c r="E4" s="10">
        <f>B4+D4</f>
        <v>18</v>
      </c>
      <c r="F4" s="10">
        <f>'Survival_SexRatio NR'!J4</f>
        <v>3</v>
      </c>
      <c r="G4" s="211">
        <f>E4/F4</f>
        <v>6</v>
      </c>
      <c r="H4" s="14">
        <v>1</v>
      </c>
      <c r="I4" s="10">
        <v>9</v>
      </c>
      <c r="J4" s="22">
        <v>1</v>
      </c>
      <c r="K4" s="22">
        <v>18</v>
      </c>
      <c r="L4" s="22">
        <f>I4+K4</f>
        <v>27</v>
      </c>
      <c r="M4" s="10">
        <f>'Survival_SexRatio NR'!V4</f>
        <v>5</v>
      </c>
      <c r="N4" s="210">
        <f>L4/M4</f>
        <v>5.4</v>
      </c>
    </row>
    <row r="5" spans="1:14" x14ac:dyDescent="0.25">
      <c r="A5" s="14">
        <v>2</v>
      </c>
      <c r="B5" s="5">
        <v>12</v>
      </c>
      <c r="C5" s="22">
        <v>2</v>
      </c>
      <c r="D5" s="22">
        <v>6</v>
      </c>
      <c r="E5" s="10">
        <f t="shared" ref="E5:E38" si="0">B5+D5</f>
        <v>18</v>
      </c>
      <c r="F5" s="10">
        <f>'Survival_SexRatio NR'!J5</f>
        <v>3</v>
      </c>
      <c r="G5" s="211">
        <f t="shared" ref="G5:G38" si="1">E5/F5</f>
        <v>6</v>
      </c>
      <c r="H5" s="14">
        <v>2</v>
      </c>
      <c r="I5" s="10">
        <v>18</v>
      </c>
      <c r="J5" s="22">
        <v>2</v>
      </c>
      <c r="K5" s="22">
        <v>19</v>
      </c>
      <c r="L5" s="22">
        <f t="shared" ref="L5:L38" si="2">I5+K5</f>
        <v>37</v>
      </c>
      <c r="M5" s="10">
        <f>'Survival_SexRatio NR'!V5</f>
        <v>5</v>
      </c>
      <c r="N5" s="210">
        <f t="shared" ref="N5:N25" si="3">L5/M5</f>
        <v>7.4</v>
      </c>
    </row>
    <row r="6" spans="1:14" x14ac:dyDescent="0.25">
      <c r="A6" s="14">
        <v>3</v>
      </c>
      <c r="B6" s="5">
        <v>11</v>
      </c>
      <c r="C6" s="22">
        <v>3</v>
      </c>
      <c r="D6" s="22">
        <v>15</v>
      </c>
      <c r="E6" s="10">
        <f t="shared" si="0"/>
        <v>26</v>
      </c>
      <c r="F6" s="10">
        <f>'Survival_SexRatio NR'!J6</f>
        <v>4</v>
      </c>
      <c r="G6" s="211">
        <f t="shared" si="1"/>
        <v>6.5</v>
      </c>
      <c r="H6" s="14">
        <v>3</v>
      </c>
      <c r="I6" s="10">
        <v>5</v>
      </c>
      <c r="J6" s="22">
        <v>3</v>
      </c>
      <c r="K6" s="22">
        <v>21</v>
      </c>
      <c r="L6" s="22">
        <f t="shared" si="2"/>
        <v>26</v>
      </c>
      <c r="M6" s="10">
        <f>'Survival_SexRatio NR'!V6</f>
        <v>4</v>
      </c>
      <c r="N6" s="210">
        <f t="shared" si="3"/>
        <v>6.5</v>
      </c>
    </row>
    <row r="7" spans="1:14" x14ac:dyDescent="0.25">
      <c r="A7" s="14">
        <v>4</v>
      </c>
      <c r="B7" s="5">
        <v>5</v>
      </c>
      <c r="C7" s="22">
        <v>4</v>
      </c>
      <c r="D7" s="22">
        <v>13</v>
      </c>
      <c r="E7" s="10">
        <f t="shared" si="0"/>
        <v>18</v>
      </c>
      <c r="F7" s="10">
        <f>'Survival_SexRatio NR'!J7</f>
        <v>6</v>
      </c>
      <c r="G7" s="211">
        <f t="shared" si="1"/>
        <v>3</v>
      </c>
      <c r="H7" s="14">
        <v>4</v>
      </c>
      <c r="I7" s="10">
        <v>15</v>
      </c>
      <c r="J7" s="22">
        <v>4</v>
      </c>
      <c r="K7" s="22">
        <v>12</v>
      </c>
      <c r="L7" s="22">
        <f t="shared" si="2"/>
        <v>27</v>
      </c>
      <c r="M7" s="10">
        <f>'Survival_SexRatio NR'!V7</f>
        <v>4</v>
      </c>
      <c r="N7" s="210">
        <f t="shared" si="3"/>
        <v>6.75</v>
      </c>
    </row>
    <row r="8" spans="1:14" x14ac:dyDescent="0.25">
      <c r="A8" s="14">
        <v>5</v>
      </c>
      <c r="B8" s="5">
        <v>5</v>
      </c>
      <c r="C8" s="22">
        <v>5</v>
      </c>
      <c r="D8" s="22">
        <v>18</v>
      </c>
      <c r="E8" s="10">
        <f t="shared" si="0"/>
        <v>23</v>
      </c>
      <c r="F8" s="10">
        <f>'Survival_SexRatio NR'!J8</f>
        <v>5</v>
      </c>
      <c r="G8" s="211">
        <f t="shared" si="1"/>
        <v>4.5999999999999996</v>
      </c>
      <c r="H8" s="14">
        <v>5</v>
      </c>
      <c r="I8" s="10">
        <v>4</v>
      </c>
      <c r="J8" s="22">
        <v>5</v>
      </c>
      <c r="K8" s="22">
        <v>7</v>
      </c>
      <c r="L8" s="22">
        <f t="shared" si="2"/>
        <v>11</v>
      </c>
      <c r="M8" s="10">
        <f>'Survival_SexRatio NR'!V8</f>
        <v>3</v>
      </c>
      <c r="N8" s="210">
        <f t="shared" si="3"/>
        <v>3.6666666666666665</v>
      </c>
    </row>
    <row r="9" spans="1:14" x14ac:dyDescent="0.25">
      <c r="A9" s="14">
        <v>6</v>
      </c>
      <c r="B9" s="5">
        <v>31</v>
      </c>
      <c r="C9" s="22">
        <v>6</v>
      </c>
      <c r="D9" s="22">
        <v>20</v>
      </c>
      <c r="E9" s="10">
        <f t="shared" si="0"/>
        <v>51</v>
      </c>
      <c r="F9" s="10">
        <f>'Survival_SexRatio NR'!J9</f>
        <v>6</v>
      </c>
      <c r="G9" s="211">
        <f t="shared" si="1"/>
        <v>8.5</v>
      </c>
      <c r="H9" s="14">
        <v>6</v>
      </c>
      <c r="I9" s="10">
        <v>35</v>
      </c>
      <c r="J9" s="22">
        <v>6</v>
      </c>
      <c r="K9" s="22">
        <v>24</v>
      </c>
      <c r="L9" s="22">
        <f t="shared" si="2"/>
        <v>59</v>
      </c>
      <c r="M9" s="10">
        <f>'Survival_SexRatio NR'!V9</f>
        <v>5</v>
      </c>
      <c r="N9" s="210">
        <f t="shared" si="3"/>
        <v>11.8</v>
      </c>
    </row>
    <row r="10" spans="1:14" x14ac:dyDescent="0.25">
      <c r="A10" s="14">
        <v>7</v>
      </c>
      <c r="B10" s="5">
        <v>0</v>
      </c>
      <c r="C10" s="22">
        <v>7</v>
      </c>
      <c r="D10" s="22">
        <v>6</v>
      </c>
      <c r="E10" s="10">
        <f t="shared" si="0"/>
        <v>6</v>
      </c>
      <c r="F10" s="10">
        <f>'Survival_SexRatio NR'!J10</f>
        <v>1</v>
      </c>
      <c r="G10" s="211">
        <f t="shared" si="1"/>
        <v>6</v>
      </c>
      <c r="H10" s="14">
        <v>7</v>
      </c>
      <c r="I10" s="10">
        <v>22</v>
      </c>
      <c r="J10" s="22">
        <v>7</v>
      </c>
      <c r="K10" s="22">
        <v>33</v>
      </c>
      <c r="L10" s="22">
        <f t="shared" si="2"/>
        <v>55</v>
      </c>
      <c r="M10" s="10">
        <f>'Survival_SexRatio NR'!V10</f>
        <v>6</v>
      </c>
      <c r="N10" s="210">
        <f t="shared" si="3"/>
        <v>9.1666666666666661</v>
      </c>
    </row>
    <row r="11" spans="1:14" x14ac:dyDescent="0.25">
      <c r="A11" s="14">
        <v>8</v>
      </c>
      <c r="B11" s="5">
        <v>4</v>
      </c>
      <c r="C11" s="22">
        <v>8</v>
      </c>
      <c r="D11" s="22">
        <v>9</v>
      </c>
      <c r="E11" s="10">
        <f t="shared" si="0"/>
        <v>13</v>
      </c>
      <c r="F11" s="10">
        <f>'Survival_SexRatio NR'!J11</f>
        <v>5</v>
      </c>
      <c r="G11" s="211">
        <f t="shared" si="1"/>
        <v>2.6</v>
      </c>
      <c r="H11" s="14">
        <v>8</v>
      </c>
      <c r="I11" s="10">
        <v>19</v>
      </c>
      <c r="J11" s="22">
        <v>8</v>
      </c>
      <c r="K11" s="22">
        <v>20</v>
      </c>
      <c r="L11" s="22">
        <f t="shared" si="2"/>
        <v>39</v>
      </c>
      <c r="M11" s="10">
        <f>'Survival_SexRatio NR'!V11</f>
        <v>5</v>
      </c>
      <c r="N11" s="210">
        <f t="shared" si="3"/>
        <v>7.8</v>
      </c>
    </row>
    <row r="12" spans="1:14" x14ac:dyDescent="0.25">
      <c r="A12" s="14">
        <v>9</v>
      </c>
      <c r="B12" s="5">
        <v>4</v>
      </c>
      <c r="C12" s="22">
        <v>9</v>
      </c>
      <c r="D12" s="22">
        <v>19</v>
      </c>
      <c r="E12" s="10">
        <f t="shared" si="0"/>
        <v>23</v>
      </c>
      <c r="F12" s="10">
        <f>'Survival_SexRatio NR'!J12</f>
        <v>3</v>
      </c>
      <c r="G12" s="211">
        <f t="shared" si="1"/>
        <v>7.666666666666667</v>
      </c>
      <c r="H12" s="14">
        <v>9</v>
      </c>
      <c r="I12" s="10">
        <v>4</v>
      </c>
      <c r="J12" s="22">
        <v>9</v>
      </c>
      <c r="K12" s="22">
        <v>20</v>
      </c>
      <c r="L12" s="22">
        <f t="shared" si="2"/>
        <v>24</v>
      </c>
      <c r="M12" s="10">
        <f>'Survival_SexRatio NR'!V12</f>
        <v>4</v>
      </c>
      <c r="N12" s="210">
        <f t="shared" si="3"/>
        <v>6</v>
      </c>
    </row>
    <row r="13" spans="1:14" x14ac:dyDescent="0.25">
      <c r="A13" s="14">
        <v>10</v>
      </c>
      <c r="B13" s="5">
        <v>38</v>
      </c>
      <c r="C13" s="22">
        <v>10</v>
      </c>
      <c r="D13" s="22">
        <v>26</v>
      </c>
      <c r="E13" s="10">
        <f t="shared" si="0"/>
        <v>64</v>
      </c>
      <c r="F13" s="10">
        <f>'Survival_SexRatio NR'!J13</f>
        <v>5</v>
      </c>
      <c r="G13" s="211">
        <f t="shared" si="1"/>
        <v>12.8</v>
      </c>
      <c r="H13" s="14">
        <v>10</v>
      </c>
      <c r="I13" s="10">
        <v>14</v>
      </c>
      <c r="J13" s="22">
        <v>10</v>
      </c>
      <c r="K13" s="22">
        <v>28</v>
      </c>
      <c r="L13" s="22">
        <f t="shared" si="2"/>
        <v>42</v>
      </c>
      <c r="M13" s="10">
        <f>'Survival_SexRatio NR'!V13</f>
        <v>4</v>
      </c>
      <c r="N13" s="210">
        <f t="shared" si="3"/>
        <v>10.5</v>
      </c>
    </row>
    <row r="14" spans="1:14" x14ac:dyDescent="0.25">
      <c r="A14" s="14">
        <v>11</v>
      </c>
      <c r="B14" s="5">
        <v>15</v>
      </c>
      <c r="C14" s="22">
        <v>11</v>
      </c>
      <c r="D14" s="22">
        <v>9</v>
      </c>
      <c r="E14" s="10">
        <f t="shared" si="0"/>
        <v>24</v>
      </c>
      <c r="F14" s="10">
        <f>'Survival_SexRatio NR'!J14</f>
        <v>3</v>
      </c>
      <c r="G14" s="211">
        <f t="shared" si="1"/>
        <v>8</v>
      </c>
      <c r="H14" s="14">
        <v>11</v>
      </c>
      <c r="I14" s="10">
        <v>19</v>
      </c>
      <c r="J14" s="22">
        <v>11</v>
      </c>
      <c r="K14" s="22">
        <v>13</v>
      </c>
      <c r="L14" s="22">
        <f t="shared" si="2"/>
        <v>32</v>
      </c>
      <c r="M14" s="10">
        <f>'Survival_SexRatio NR'!V14</f>
        <v>3</v>
      </c>
      <c r="N14" s="210">
        <f t="shared" si="3"/>
        <v>10.666666666666666</v>
      </c>
    </row>
    <row r="15" spans="1:14" x14ac:dyDescent="0.25">
      <c r="A15" s="14">
        <v>12</v>
      </c>
      <c r="B15" s="5">
        <v>0</v>
      </c>
      <c r="C15" s="22">
        <v>12</v>
      </c>
      <c r="D15" s="22">
        <v>7</v>
      </c>
      <c r="E15" s="10">
        <f t="shared" si="0"/>
        <v>7</v>
      </c>
      <c r="F15" s="10">
        <f>'Survival_SexRatio NR'!J15</f>
        <v>4</v>
      </c>
      <c r="G15" s="211">
        <f t="shared" si="1"/>
        <v>1.75</v>
      </c>
      <c r="H15" s="14">
        <v>12</v>
      </c>
      <c r="I15" s="10">
        <v>14</v>
      </c>
      <c r="J15" s="22">
        <v>12</v>
      </c>
      <c r="K15" s="22">
        <v>9</v>
      </c>
      <c r="L15" s="22">
        <f t="shared" si="2"/>
        <v>23</v>
      </c>
      <c r="M15" s="10">
        <f>'Survival_SexRatio NR'!V15</f>
        <v>3</v>
      </c>
      <c r="N15" s="210">
        <f t="shared" si="3"/>
        <v>7.666666666666667</v>
      </c>
    </row>
    <row r="16" spans="1:14" x14ac:dyDescent="0.25">
      <c r="A16" s="14">
        <v>13</v>
      </c>
      <c r="B16" s="5">
        <v>38</v>
      </c>
      <c r="C16" s="22">
        <v>13</v>
      </c>
      <c r="D16" s="22">
        <v>28</v>
      </c>
      <c r="E16" s="10">
        <f t="shared" si="0"/>
        <v>66</v>
      </c>
      <c r="F16" s="10">
        <f>'Survival_SexRatio NR'!J16</f>
        <v>3</v>
      </c>
      <c r="G16" s="211">
        <f t="shared" si="1"/>
        <v>22</v>
      </c>
      <c r="H16" s="14">
        <v>13</v>
      </c>
      <c r="I16" s="10">
        <v>19</v>
      </c>
      <c r="J16" s="22">
        <v>13</v>
      </c>
      <c r="K16" s="22">
        <v>57</v>
      </c>
      <c r="L16" s="22">
        <f t="shared" si="2"/>
        <v>76</v>
      </c>
      <c r="M16" s="10">
        <f>'Survival_SexRatio NR'!V16</f>
        <v>6</v>
      </c>
      <c r="N16" s="210">
        <f t="shared" si="3"/>
        <v>12.666666666666666</v>
      </c>
    </row>
    <row r="17" spans="1:14" x14ac:dyDescent="0.25">
      <c r="A17" s="14">
        <v>14</v>
      </c>
      <c r="B17" s="5">
        <v>7</v>
      </c>
      <c r="C17" s="22">
        <v>14</v>
      </c>
      <c r="D17" s="22">
        <v>26</v>
      </c>
      <c r="E17" s="10">
        <f t="shared" si="0"/>
        <v>33</v>
      </c>
      <c r="F17" s="10">
        <f>'Survival_SexRatio NR'!J17</f>
        <v>5</v>
      </c>
      <c r="G17" s="211">
        <f t="shared" si="1"/>
        <v>6.6</v>
      </c>
      <c r="H17" s="14">
        <v>14</v>
      </c>
      <c r="I17" s="10">
        <v>9</v>
      </c>
      <c r="J17" s="22">
        <v>14</v>
      </c>
      <c r="K17" s="22">
        <v>16</v>
      </c>
      <c r="L17" s="22">
        <f t="shared" si="2"/>
        <v>25</v>
      </c>
      <c r="M17" s="10">
        <f>'Survival_SexRatio NR'!V17</f>
        <v>3</v>
      </c>
      <c r="N17" s="210">
        <f t="shared" si="3"/>
        <v>8.3333333333333339</v>
      </c>
    </row>
    <row r="18" spans="1:14" x14ac:dyDescent="0.25">
      <c r="A18" s="14">
        <v>15</v>
      </c>
      <c r="B18" s="5">
        <v>8</v>
      </c>
      <c r="C18" s="22">
        <v>15</v>
      </c>
      <c r="D18" s="22">
        <v>22</v>
      </c>
      <c r="E18" s="10">
        <f t="shared" si="0"/>
        <v>30</v>
      </c>
      <c r="F18" s="10">
        <f>'Survival_SexRatio NR'!J18</f>
        <v>4</v>
      </c>
      <c r="G18" s="211">
        <f t="shared" si="1"/>
        <v>7.5</v>
      </c>
      <c r="H18" s="14">
        <v>15</v>
      </c>
      <c r="I18" s="10">
        <v>5</v>
      </c>
      <c r="J18" s="22">
        <v>15</v>
      </c>
      <c r="K18" s="22">
        <v>4</v>
      </c>
      <c r="L18" s="22">
        <f t="shared" si="2"/>
        <v>9</v>
      </c>
      <c r="M18" s="10">
        <f>'Survival_SexRatio NR'!V18</f>
        <v>2</v>
      </c>
      <c r="N18" s="210">
        <f t="shared" si="3"/>
        <v>4.5</v>
      </c>
    </row>
    <row r="19" spans="1:14" x14ac:dyDescent="0.25">
      <c r="A19" s="14">
        <v>16</v>
      </c>
      <c r="B19" s="5">
        <v>7</v>
      </c>
      <c r="C19" s="22">
        <v>16</v>
      </c>
      <c r="D19" s="22">
        <v>20</v>
      </c>
      <c r="E19" s="10">
        <f t="shared" si="0"/>
        <v>27</v>
      </c>
      <c r="F19" s="10">
        <f>'Survival_SexRatio NR'!J19</f>
        <v>5</v>
      </c>
      <c r="G19" s="211">
        <f t="shared" si="1"/>
        <v>5.4</v>
      </c>
      <c r="H19" s="14">
        <v>16</v>
      </c>
      <c r="I19" s="10">
        <v>31</v>
      </c>
      <c r="J19" s="22">
        <v>16</v>
      </c>
      <c r="K19" s="22">
        <v>29</v>
      </c>
      <c r="L19" s="22">
        <f t="shared" si="2"/>
        <v>60</v>
      </c>
      <c r="M19" s="10">
        <f>'Survival_SexRatio NR'!V19</f>
        <v>7</v>
      </c>
      <c r="N19" s="210">
        <f t="shared" si="3"/>
        <v>8.5714285714285712</v>
      </c>
    </row>
    <row r="20" spans="1:14" x14ac:dyDescent="0.25">
      <c r="A20" s="14">
        <v>17</v>
      </c>
      <c r="B20" s="5">
        <v>13</v>
      </c>
      <c r="C20" s="22">
        <v>17</v>
      </c>
      <c r="D20" s="22">
        <v>30</v>
      </c>
      <c r="E20" s="10">
        <f t="shared" si="0"/>
        <v>43</v>
      </c>
      <c r="F20" s="10">
        <f>'Survival_SexRatio NR'!J20</f>
        <v>4</v>
      </c>
      <c r="G20" s="211">
        <f t="shared" si="1"/>
        <v>10.75</v>
      </c>
      <c r="H20" s="14">
        <v>17</v>
      </c>
      <c r="I20" s="10">
        <v>6</v>
      </c>
      <c r="J20" s="22">
        <v>17</v>
      </c>
      <c r="K20" s="22">
        <v>31</v>
      </c>
      <c r="L20" s="22">
        <f t="shared" si="2"/>
        <v>37</v>
      </c>
      <c r="M20" s="10">
        <f>'Survival_SexRatio NR'!V20</f>
        <v>5</v>
      </c>
      <c r="N20" s="210">
        <f t="shared" si="3"/>
        <v>7.4</v>
      </c>
    </row>
    <row r="21" spans="1:14" x14ac:dyDescent="0.25">
      <c r="A21" s="14">
        <v>18</v>
      </c>
      <c r="B21" s="5">
        <v>19</v>
      </c>
      <c r="C21" s="22">
        <v>18</v>
      </c>
      <c r="D21" s="22">
        <v>13</v>
      </c>
      <c r="E21" s="10">
        <f t="shared" si="0"/>
        <v>32</v>
      </c>
      <c r="F21" s="10">
        <f>'Survival_SexRatio NR'!J21</f>
        <v>3</v>
      </c>
      <c r="G21" s="211">
        <f t="shared" si="1"/>
        <v>10.666666666666666</v>
      </c>
      <c r="H21" s="14">
        <v>18</v>
      </c>
      <c r="I21" s="10">
        <v>10</v>
      </c>
      <c r="J21" s="22">
        <v>18</v>
      </c>
      <c r="K21" s="22">
        <v>14</v>
      </c>
      <c r="L21" s="22">
        <f t="shared" si="2"/>
        <v>24</v>
      </c>
      <c r="M21" s="10">
        <f>'Survival_SexRatio NR'!V21</f>
        <v>3</v>
      </c>
      <c r="N21" s="210">
        <f t="shared" si="3"/>
        <v>8</v>
      </c>
    </row>
    <row r="22" spans="1:14" x14ac:dyDescent="0.25">
      <c r="A22" s="14">
        <v>19</v>
      </c>
      <c r="B22" s="5">
        <v>18</v>
      </c>
      <c r="C22" s="22">
        <v>19</v>
      </c>
      <c r="D22" s="22">
        <v>25</v>
      </c>
      <c r="E22" s="10">
        <f t="shared" si="0"/>
        <v>43</v>
      </c>
      <c r="F22" s="10">
        <f>'Survival_SexRatio NR'!J22</f>
        <v>5</v>
      </c>
      <c r="G22" s="211">
        <f t="shared" si="1"/>
        <v>8.6</v>
      </c>
      <c r="H22" s="14">
        <v>19</v>
      </c>
      <c r="I22" s="10">
        <v>17</v>
      </c>
      <c r="J22" s="22">
        <v>19</v>
      </c>
      <c r="K22" s="22">
        <v>16</v>
      </c>
      <c r="L22" s="22">
        <f t="shared" si="2"/>
        <v>33</v>
      </c>
      <c r="M22" s="10">
        <f>'Survival_SexRatio NR'!V22</f>
        <v>4</v>
      </c>
      <c r="N22" s="210">
        <f t="shared" si="3"/>
        <v>8.25</v>
      </c>
    </row>
    <row r="23" spans="1:14" x14ac:dyDescent="0.25">
      <c r="A23" s="14">
        <v>20</v>
      </c>
      <c r="B23" s="5">
        <v>3</v>
      </c>
      <c r="C23" s="22">
        <v>20</v>
      </c>
      <c r="D23" s="22">
        <v>14</v>
      </c>
      <c r="E23" s="10">
        <f t="shared" si="0"/>
        <v>17</v>
      </c>
      <c r="F23" s="10">
        <f>'Survival_SexRatio NR'!J23</f>
        <v>2</v>
      </c>
      <c r="G23" s="211">
        <f t="shared" si="1"/>
        <v>8.5</v>
      </c>
      <c r="H23" s="14">
        <v>20</v>
      </c>
      <c r="I23" s="10">
        <v>16</v>
      </c>
      <c r="J23" s="22">
        <v>20</v>
      </c>
      <c r="K23" s="22">
        <v>20</v>
      </c>
      <c r="L23" s="22">
        <f t="shared" si="2"/>
        <v>36</v>
      </c>
      <c r="M23" s="10">
        <f>'Survival_SexRatio NR'!V23</f>
        <v>5</v>
      </c>
      <c r="N23" s="210">
        <f t="shared" si="3"/>
        <v>7.2</v>
      </c>
    </row>
    <row r="24" spans="1:14" x14ac:dyDescent="0.25">
      <c r="A24" s="14">
        <v>21</v>
      </c>
      <c r="B24" s="5">
        <v>15</v>
      </c>
      <c r="C24" s="22">
        <v>21</v>
      </c>
      <c r="D24" s="22">
        <v>33</v>
      </c>
      <c r="E24" s="10">
        <f t="shared" si="0"/>
        <v>48</v>
      </c>
      <c r="F24" s="10">
        <f>'Survival_SexRatio NR'!J24</f>
        <v>4</v>
      </c>
      <c r="G24" s="211">
        <f t="shared" si="1"/>
        <v>12</v>
      </c>
      <c r="H24" s="14">
        <v>21</v>
      </c>
      <c r="I24" s="10">
        <v>0</v>
      </c>
      <c r="J24" s="22">
        <v>21</v>
      </c>
      <c r="K24" s="22">
        <v>18</v>
      </c>
      <c r="L24" s="22">
        <f t="shared" si="2"/>
        <v>18</v>
      </c>
      <c r="M24" s="10">
        <f>'Survival_SexRatio NR'!V24</f>
        <v>3</v>
      </c>
      <c r="N24" s="210">
        <f t="shared" si="3"/>
        <v>6</v>
      </c>
    </row>
    <row r="25" spans="1:14" x14ac:dyDescent="0.25">
      <c r="A25" s="14">
        <v>22</v>
      </c>
      <c r="B25" s="5">
        <v>0</v>
      </c>
      <c r="C25" s="22">
        <v>22</v>
      </c>
      <c r="D25" s="22">
        <v>8</v>
      </c>
      <c r="E25" s="10">
        <f t="shared" si="0"/>
        <v>8</v>
      </c>
      <c r="F25" s="10">
        <f>'Survival_SexRatio NR'!J25</f>
        <v>4</v>
      </c>
      <c r="G25" s="211">
        <f t="shared" si="1"/>
        <v>2</v>
      </c>
      <c r="H25" s="14">
        <v>22</v>
      </c>
      <c r="I25" s="10">
        <v>0</v>
      </c>
      <c r="J25" s="22">
        <v>22</v>
      </c>
      <c r="K25" s="22">
        <v>40</v>
      </c>
      <c r="L25" s="22">
        <f t="shared" si="2"/>
        <v>40</v>
      </c>
      <c r="M25" s="10">
        <f>'Survival_SexRatio NR'!V25</f>
        <v>4</v>
      </c>
      <c r="N25" s="210">
        <f t="shared" si="3"/>
        <v>10</v>
      </c>
    </row>
    <row r="26" spans="1:14" x14ac:dyDescent="0.25">
      <c r="A26" s="14">
        <v>23</v>
      </c>
      <c r="B26" s="5">
        <v>26</v>
      </c>
      <c r="C26" s="22">
        <v>23</v>
      </c>
      <c r="D26" s="22">
        <v>17</v>
      </c>
      <c r="E26" s="10">
        <f t="shared" si="0"/>
        <v>43</v>
      </c>
      <c r="F26" s="10">
        <f>'Survival_SexRatio NR'!J26</f>
        <v>4</v>
      </c>
      <c r="G26" s="211">
        <f t="shared" si="1"/>
        <v>10.75</v>
      </c>
      <c r="H26" s="14">
        <v>23</v>
      </c>
      <c r="I26" s="10">
        <v>20</v>
      </c>
      <c r="J26" s="22">
        <v>23</v>
      </c>
      <c r="K26" s="22">
        <v>31</v>
      </c>
      <c r="L26" s="22">
        <f t="shared" si="2"/>
        <v>51</v>
      </c>
      <c r="M26" s="10">
        <f>'Survival_SexRatio NR'!V26</f>
        <v>5</v>
      </c>
      <c r="N26" s="210">
        <f t="shared" ref="N26:N38" si="4">L26/M26</f>
        <v>10.199999999999999</v>
      </c>
    </row>
    <row r="27" spans="1:14" x14ac:dyDescent="0.25">
      <c r="A27" s="14">
        <v>24</v>
      </c>
      <c r="B27" s="5">
        <v>0</v>
      </c>
      <c r="C27" s="22">
        <v>24</v>
      </c>
      <c r="D27" s="22">
        <v>17</v>
      </c>
      <c r="E27" s="10">
        <f t="shared" si="0"/>
        <v>17</v>
      </c>
      <c r="F27" s="10">
        <f>'Survival_SexRatio NR'!J27</f>
        <v>4</v>
      </c>
      <c r="G27" s="211">
        <f t="shared" si="1"/>
        <v>4.25</v>
      </c>
      <c r="H27" s="14">
        <v>24</v>
      </c>
      <c r="I27" s="10">
        <v>8</v>
      </c>
      <c r="J27" s="22">
        <v>24</v>
      </c>
      <c r="K27" s="22">
        <v>26</v>
      </c>
      <c r="L27" s="22">
        <f t="shared" si="2"/>
        <v>34</v>
      </c>
      <c r="M27" s="10">
        <f>'Survival_SexRatio NR'!V27</f>
        <v>6</v>
      </c>
      <c r="N27" s="210">
        <f t="shared" si="4"/>
        <v>5.666666666666667</v>
      </c>
    </row>
    <row r="28" spans="1:14" x14ac:dyDescent="0.25">
      <c r="A28" s="14">
        <v>25</v>
      </c>
      <c r="B28" s="5">
        <v>6</v>
      </c>
      <c r="C28" s="22">
        <v>25</v>
      </c>
      <c r="D28" s="22">
        <v>16</v>
      </c>
      <c r="E28" s="10">
        <f t="shared" si="0"/>
        <v>22</v>
      </c>
      <c r="F28" s="10">
        <f>'Survival_SexRatio NR'!J28</f>
        <v>7</v>
      </c>
      <c r="G28" s="211">
        <f t="shared" si="1"/>
        <v>3.1428571428571428</v>
      </c>
      <c r="H28" s="14">
        <v>25</v>
      </c>
      <c r="I28" s="10">
        <v>41</v>
      </c>
      <c r="J28" s="22">
        <v>25</v>
      </c>
      <c r="K28" s="22">
        <v>9</v>
      </c>
      <c r="L28" s="22">
        <f t="shared" si="2"/>
        <v>50</v>
      </c>
      <c r="M28" s="10">
        <f>'Survival_SexRatio NR'!V28</f>
        <v>3</v>
      </c>
      <c r="N28" s="210">
        <f t="shared" si="4"/>
        <v>16.666666666666668</v>
      </c>
    </row>
    <row r="29" spans="1:14" x14ac:dyDescent="0.25">
      <c r="A29" s="14">
        <v>26</v>
      </c>
      <c r="B29" s="5">
        <v>14</v>
      </c>
      <c r="C29" s="22">
        <v>26</v>
      </c>
      <c r="D29" s="22">
        <v>14</v>
      </c>
      <c r="E29" s="10">
        <f t="shared" si="0"/>
        <v>28</v>
      </c>
      <c r="F29" s="10">
        <f>'Survival_SexRatio NR'!J29</f>
        <v>4</v>
      </c>
      <c r="G29" s="211">
        <f t="shared" si="1"/>
        <v>7</v>
      </c>
      <c r="H29" s="14">
        <v>26</v>
      </c>
      <c r="I29" s="10">
        <v>19</v>
      </c>
      <c r="J29" s="22">
        <v>26</v>
      </c>
      <c r="K29" s="22">
        <v>49</v>
      </c>
      <c r="L29" s="22">
        <f t="shared" si="2"/>
        <v>68</v>
      </c>
      <c r="M29" s="10">
        <f>'Survival_SexRatio NR'!V29</f>
        <v>6</v>
      </c>
      <c r="N29" s="210">
        <f t="shared" si="4"/>
        <v>11.333333333333334</v>
      </c>
    </row>
    <row r="30" spans="1:14" x14ac:dyDescent="0.25">
      <c r="A30" s="14">
        <v>27</v>
      </c>
      <c r="B30" s="5">
        <v>0</v>
      </c>
      <c r="C30" s="22">
        <v>27</v>
      </c>
      <c r="D30" s="22">
        <v>0</v>
      </c>
      <c r="E30" s="10">
        <f t="shared" si="0"/>
        <v>0</v>
      </c>
      <c r="F30" s="10">
        <f>'Survival_SexRatio NR'!J30</f>
        <v>2</v>
      </c>
      <c r="G30" s="211">
        <f t="shared" si="1"/>
        <v>0</v>
      </c>
      <c r="H30" s="14">
        <v>27</v>
      </c>
      <c r="I30" s="10">
        <v>19</v>
      </c>
      <c r="J30" s="22">
        <v>27</v>
      </c>
      <c r="K30" s="22">
        <v>17</v>
      </c>
      <c r="L30" s="22">
        <f t="shared" si="2"/>
        <v>36</v>
      </c>
      <c r="M30" s="10">
        <f>'Survival_SexRatio NR'!V30</f>
        <v>4</v>
      </c>
      <c r="N30" s="210">
        <f t="shared" si="4"/>
        <v>9</v>
      </c>
    </row>
    <row r="31" spans="1:14" x14ac:dyDescent="0.25">
      <c r="A31" s="14">
        <v>28</v>
      </c>
      <c r="B31" s="5">
        <v>15</v>
      </c>
      <c r="C31" s="22">
        <v>28</v>
      </c>
      <c r="D31" s="22">
        <v>17</v>
      </c>
      <c r="E31" s="10">
        <f t="shared" si="0"/>
        <v>32</v>
      </c>
      <c r="F31" s="10">
        <f>'Survival_SexRatio NR'!J31</f>
        <v>8</v>
      </c>
      <c r="G31" s="211">
        <f t="shared" si="1"/>
        <v>4</v>
      </c>
      <c r="H31" s="14">
        <v>28</v>
      </c>
      <c r="I31" s="10">
        <v>6</v>
      </c>
      <c r="J31" s="22">
        <v>28</v>
      </c>
      <c r="K31" s="22">
        <v>19</v>
      </c>
      <c r="L31" s="22">
        <f t="shared" si="2"/>
        <v>25</v>
      </c>
      <c r="M31" s="10">
        <f>'Survival_SexRatio NR'!V31</f>
        <v>3</v>
      </c>
      <c r="N31" s="210">
        <f t="shared" si="4"/>
        <v>8.3333333333333339</v>
      </c>
    </row>
    <row r="32" spans="1:14" x14ac:dyDescent="0.25">
      <c r="A32" s="14">
        <v>29</v>
      </c>
      <c r="B32" s="5">
        <v>26</v>
      </c>
      <c r="C32" s="22">
        <v>29</v>
      </c>
      <c r="D32" s="22">
        <v>42</v>
      </c>
      <c r="E32" s="10">
        <f t="shared" si="0"/>
        <v>68</v>
      </c>
      <c r="F32" s="10">
        <f>'Survival_SexRatio NR'!J32</f>
        <v>6</v>
      </c>
      <c r="G32" s="211">
        <f t="shared" si="1"/>
        <v>11.333333333333334</v>
      </c>
      <c r="H32" s="14">
        <v>29</v>
      </c>
      <c r="I32" s="10">
        <v>15</v>
      </c>
      <c r="J32" s="22">
        <v>29</v>
      </c>
      <c r="K32" s="22">
        <v>16</v>
      </c>
      <c r="L32" s="22">
        <f t="shared" si="2"/>
        <v>31</v>
      </c>
      <c r="M32" s="10">
        <f>'Survival_SexRatio NR'!V32</f>
        <v>3</v>
      </c>
      <c r="N32" s="210">
        <f t="shared" si="4"/>
        <v>10.333333333333334</v>
      </c>
    </row>
    <row r="33" spans="1:17" x14ac:dyDescent="0.25">
      <c r="A33" s="14">
        <v>30</v>
      </c>
      <c r="B33" s="5">
        <v>8</v>
      </c>
      <c r="C33" s="22">
        <v>30</v>
      </c>
      <c r="D33" s="22">
        <v>28</v>
      </c>
      <c r="E33" s="10">
        <f t="shared" si="0"/>
        <v>36</v>
      </c>
      <c r="F33" s="10">
        <f>'Survival_SexRatio NR'!J33</f>
        <v>3</v>
      </c>
      <c r="G33" s="211">
        <f t="shared" si="1"/>
        <v>12</v>
      </c>
      <c r="H33" s="14">
        <v>30</v>
      </c>
      <c r="I33" s="10">
        <v>26</v>
      </c>
      <c r="J33" s="22">
        <v>30</v>
      </c>
      <c r="K33" s="22">
        <v>23</v>
      </c>
      <c r="L33" s="22">
        <f t="shared" si="2"/>
        <v>49</v>
      </c>
      <c r="M33" s="10">
        <f>'Survival_SexRatio NR'!V33</f>
        <v>6</v>
      </c>
      <c r="N33" s="210">
        <f t="shared" si="4"/>
        <v>8.1666666666666661</v>
      </c>
    </row>
    <row r="34" spans="1:17" x14ac:dyDescent="0.25">
      <c r="A34" s="14">
        <v>31</v>
      </c>
      <c r="B34" s="5">
        <v>7</v>
      </c>
      <c r="C34" s="22">
        <v>31</v>
      </c>
      <c r="D34" s="22">
        <v>17</v>
      </c>
      <c r="E34" s="10">
        <f t="shared" si="0"/>
        <v>24</v>
      </c>
      <c r="F34" s="10">
        <f>'Survival_SexRatio NR'!J34</f>
        <v>4</v>
      </c>
      <c r="G34" s="211">
        <f t="shared" si="1"/>
        <v>6</v>
      </c>
      <c r="H34" s="14">
        <v>31</v>
      </c>
      <c r="I34" s="10">
        <v>46</v>
      </c>
      <c r="J34" s="22">
        <v>31</v>
      </c>
      <c r="K34" s="22">
        <v>26</v>
      </c>
      <c r="L34" s="22">
        <f t="shared" si="2"/>
        <v>72</v>
      </c>
      <c r="M34" s="10">
        <f>'Survival_SexRatio NR'!V34</f>
        <v>4</v>
      </c>
      <c r="N34" s="210">
        <f t="shared" si="4"/>
        <v>18</v>
      </c>
    </row>
    <row r="35" spans="1:17" x14ac:dyDescent="0.25">
      <c r="A35" s="14">
        <v>32</v>
      </c>
      <c r="B35" s="5">
        <v>11</v>
      </c>
      <c r="C35" s="22">
        <v>32</v>
      </c>
      <c r="D35" s="22">
        <v>58</v>
      </c>
      <c r="E35" s="10">
        <f t="shared" si="0"/>
        <v>69</v>
      </c>
      <c r="F35" s="10">
        <f>'Survival_SexRatio NR'!J35</f>
        <v>6</v>
      </c>
      <c r="G35" s="211">
        <f t="shared" si="1"/>
        <v>11.5</v>
      </c>
      <c r="H35" s="14">
        <v>32</v>
      </c>
      <c r="I35" s="10">
        <v>16</v>
      </c>
      <c r="J35" s="22">
        <v>32</v>
      </c>
      <c r="K35" s="22">
        <v>28</v>
      </c>
      <c r="L35" s="22">
        <f t="shared" si="2"/>
        <v>44</v>
      </c>
      <c r="M35" s="10">
        <f>'Survival_SexRatio NR'!V35</f>
        <v>6</v>
      </c>
      <c r="N35" s="210">
        <f t="shared" si="4"/>
        <v>7.333333333333333</v>
      </c>
      <c r="Q35" s="179"/>
    </row>
    <row r="36" spans="1:17" x14ac:dyDescent="0.25">
      <c r="A36" s="14">
        <v>33</v>
      </c>
      <c r="B36" s="5">
        <v>6</v>
      </c>
      <c r="C36" s="22">
        <v>33</v>
      </c>
      <c r="D36" s="22">
        <v>10</v>
      </c>
      <c r="E36" s="10">
        <f t="shared" si="0"/>
        <v>16</v>
      </c>
      <c r="F36" s="10">
        <f>'Survival_SexRatio NR'!J36</f>
        <v>4</v>
      </c>
      <c r="G36" s="211">
        <f t="shared" si="1"/>
        <v>4</v>
      </c>
      <c r="H36" s="14">
        <v>33</v>
      </c>
      <c r="I36" s="10">
        <v>13</v>
      </c>
      <c r="J36" s="22">
        <v>33</v>
      </c>
      <c r="K36" s="22">
        <v>60</v>
      </c>
      <c r="L36" s="22">
        <f t="shared" si="2"/>
        <v>73</v>
      </c>
      <c r="M36" s="10">
        <f>'Survival_SexRatio NR'!V36</f>
        <v>5</v>
      </c>
      <c r="N36" s="210">
        <f t="shared" si="4"/>
        <v>14.6</v>
      </c>
    </row>
    <row r="37" spans="1:17" x14ac:dyDescent="0.25">
      <c r="A37" s="14">
        <v>34</v>
      </c>
      <c r="B37" s="5">
        <v>6</v>
      </c>
      <c r="C37" s="22">
        <v>34</v>
      </c>
      <c r="D37" s="22">
        <v>19</v>
      </c>
      <c r="E37" s="10">
        <f t="shared" si="0"/>
        <v>25</v>
      </c>
      <c r="F37" s="10">
        <f>'Survival_SexRatio NR'!J37</f>
        <v>5</v>
      </c>
      <c r="G37" s="211">
        <f t="shared" si="1"/>
        <v>5</v>
      </c>
      <c r="H37" s="14">
        <v>34</v>
      </c>
      <c r="I37" s="10">
        <v>3</v>
      </c>
      <c r="J37" s="22">
        <v>34</v>
      </c>
      <c r="K37" s="22">
        <v>15</v>
      </c>
      <c r="L37" s="22">
        <f t="shared" si="2"/>
        <v>18</v>
      </c>
      <c r="M37" s="10">
        <f>'Survival_SexRatio NR'!V37</f>
        <v>4</v>
      </c>
      <c r="N37" s="210">
        <f t="shared" si="4"/>
        <v>4.5</v>
      </c>
    </row>
    <row r="38" spans="1:17" x14ac:dyDescent="0.25">
      <c r="A38" s="14">
        <v>35</v>
      </c>
      <c r="B38" s="5">
        <v>10</v>
      </c>
      <c r="C38" s="22">
        <v>35</v>
      </c>
      <c r="D38" s="22">
        <v>28</v>
      </c>
      <c r="E38" s="10">
        <f t="shared" si="0"/>
        <v>38</v>
      </c>
      <c r="F38" s="10">
        <f>'Survival_SexRatio NR'!J38</f>
        <v>7</v>
      </c>
      <c r="G38" s="211">
        <f t="shared" si="1"/>
        <v>5.4285714285714288</v>
      </c>
      <c r="H38" s="14">
        <v>35</v>
      </c>
      <c r="I38" s="5">
        <v>9</v>
      </c>
      <c r="J38" s="22">
        <v>35</v>
      </c>
      <c r="K38" s="22">
        <v>15</v>
      </c>
      <c r="L38" s="22">
        <f t="shared" si="2"/>
        <v>24</v>
      </c>
      <c r="M38" s="10">
        <f>'Survival_SexRatio NR'!V38</f>
        <v>7</v>
      </c>
      <c r="N38" s="210">
        <f t="shared" si="4"/>
        <v>3.4285714285714284</v>
      </c>
    </row>
    <row r="39" spans="1:17" x14ac:dyDescent="0.25">
      <c r="A39" s="14"/>
      <c r="B39" s="7"/>
      <c r="C39" s="22"/>
      <c r="D39" s="23"/>
      <c r="E39" s="38"/>
      <c r="F39" s="10"/>
      <c r="G39" s="22"/>
      <c r="H39" s="14"/>
      <c r="I39" s="7"/>
      <c r="J39" s="22"/>
      <c r="K39" s="23"/>
      <c r="L39" s="23"/>
      <c r="M39" s="10"/>
      <c r="N39" s="44"/>
    </row>
    <row r="40" spans="1:17" x14ac:dyDescent="0.25">
      <c r="A40" s="12" t="s">
        <v>21</v>
      </c>
      <c r="B40" s="3">
        <f>SUM(B4:B38)</f>
        <v>388</v>
      </c>
      <c r="C40" s="19" t="s">
        <v>21</v>
      </c>
      <c r="D40" s="19">
        <f>SUM(D4:D38)</f>
        <v>668</v>
      </c>
      <c r="E40" s="37">
        <f>SUM(E4:E38)</f>
        <v>1056</v>
      </c>
      <c r="F40" s="10"/>
      <c r="G40" s="58">
        <f>SUM(G4:G38)</f>
        <v>251.83809523809524</v>
      </c>
      <c r="H40" s="12" t="s">
        <v>21</v>
      </c>
      <c r="I40" s="3">
        <f>SUM(I4:I38)</f>
        <v>532</v>
      </c>
      <c r="J40" s="19" t="s">
        <v>21</v>
      </c>
      <c r="K40" s="19">
        <f>SUM(K4:K38)</f>
        <v>803</v>
      </c>
      <c r="L40" s="19">
        <f>SUM(L4:L38)</f>
        <v>1335</v>
      </c>
      <c r="M40" s="10"/>
      <c r="N40" s="59">
        <f>SUM(N4:N38)</f>
        <v>301.8</v>
      </c>
    </row>
    <row r="41" spans="1:17" x14ac:dyDescent="0.25">
      <c r="A41" s="12" t="s">
        <v>4</v>
      </c>
      <c r="B41" s="16">
        <f>AVERAGE(B4:B38)</f>
        <v>11.085714285714285</v>
      </c>
      <c r="C41" s="19" t="s">
        <v>4</v>
      </c>
      <c r="D41" s="58">
        <f>AVERAGE(D4:D38)</f>
        <v>19.085714285714285</v>
      </c>
      <c r="E41" s="206">
        <f>AVERAGE(E4:E38)</f>
        <v>30.171428571428571</v>
      </c>
      <c r="F41" s="10"/>
      <c r="G41" s="58">
        <f>AVERAGE(G4:G38)</f>
        <v>7.1953741496598642</v>
      </c>
      <c r="H41" s="12" t="s">
        <v>4</v>
      </c>
      <c r="I41" s="16">
        <f>AVERAGE(I4:I38)</f>
        <v>15.2</v>
      </c>
      <c r="J41" s="19" t="s">
        <v>4</v>
      </c>
      <c r="K41" s="58">
        <f>AVERAGE(K4:K38)</f>
        <v>22.942857142857143</v>
      </c>
      <c r="L41" s="58">
        <f>AVERAGE(L4:L38)</f>
        <v>38.142857142857146</v>
      </c>
      <c r="M41" s="10"/>
      <c r="N41" s="59">
        <f>AVERAGE(N4:N38)</f>
        <v>8.6228571428571428</v>
      </c>
    </row>
    <row r="42" spans="1:17" ht="15.75" thickBot="1" x14ac:dyDescent="0.3">
      <c r="A42" s="17" t="s">
        <v>5</v>
      </c>
      <c r="B42" s="209">
        <f>STDEV(B4:B38)</f>
        <v>10.268087136627647</v>
      </c>
      <c r="C42" s="50" t="s">
        <v>5</v>
      </c>
      <c r="D42" s="112">
        <f>STDEV(D4:D38)</f>
        <v>11.067630142663329</v>
      </c>
      <c r="E42" s="212">
        <f>STDEV(E4:E38)</f>
        <v>17.853135684845746</v>
      </c>
      <c r="F42" s="213"/>
      <c r="G42" s="112">
        <f>STDEV(G4:G38)</f>
        <v>4.1770296876796422</v>
      </c>
      <c r="H42" s="17" t="s">
        <v>5</v>
      </c>
      <c r="I42" s="209">
        <f>STDEV(I4:I38)</f>
        <v>10.802505156076474</v>
      </c>
      <c r="J42" s="50" t="s">
        <v>5</v>
      </c>
      <c r="K42" s="112">
        <f>STDEV(K4:K38)</f>
        <v>12.785430258335319</v>
      </c>
      <c r="L42" s="112">
        <f>STDEV(L4:L38)</f>
        <v>17.55016818612701</v>
      </c>
      <c r="M42" s="213"/>
      <c r="N42" s="60">
        <f>STDEV(N4:N38)</f>
        <v>3.3131451581544469</v>
      </c>
    </row>
    <row r="43" spans="1:17" x14ac:dyDescent="0.25">
      <c r="A43" s="40"/>
    </row>
    <row r="44" spans="1:17" x14ac:dyDescent="0.25">
      <c r="A44" s="37"/>
    </row>
    <row r="45" spans="1:17" x14ac:dyDescent="0.25">
      <c r="A45" s="37"/>
    </row>
    <row r="46" spans="1:17" x14ac:dyDescent="0.25">
      <c r="A46" s="37"/>
    </row>
    <row r="47" spans="1:17" x14ac:dyDescent="0.25">
      <c r="A47" s="37"/>
    </row>
    <row r="48" spans="1:17" x14ac:dyDescent="0.25">
      <c r="A48" s="37"/>
    </row>
    <row r="49" spans="1:5" x14ac:dyDescent="0.25">
      <c r="A49" s="37"/>
    </row>
    <row r="50" spans="1:5" x14ac:dyDescent="0.25">
      <c r="A50" s="37"/>
    </row>
    <row r="51" spans="1:5" x14ac:dyDescent="0.25">
      <c r="A51" s="37"/>
    </row>
    <row r="52" spans="1:5" x14ac:dyDescent="0.25">
      <c r="A52" s="37"/>
    </row>
    <row r="53" spans="1:5" x14ac:dyDescent="0.25">
      <c r="A53" s="37"/>
    </row>
    <row r="54" spans="1:5" x14ac:dyDescent="0.25">
      <c r="A54" s="37"/>
    </row>
    <row r="58" spans="1:5" x14ac:dyDescent="0.25">
      <c r="B58" s="235"/>
      <c r="C58" s="235"/>
      <c r="D58" s="235"/>
      <c r="E58" s="235"/>
    </row>
    <row r="59" spans="1:5" x14ac:dyDescent="0.25">
      <c r="A59" s="194"/>
      <c r="B59" s="215"/>
      <c r="C59" s="215"/>
      <c r="D59" s="215"/>
      <c r="E59" s="215"/>
    </row>
    <row r="60" spans="1:5" x14ac:dyDescent="0.25">
      <c r="A60" s="37"/>
      <c r="B60" s="29"/>
      <c r="C60" s="29"/>
      <c r="D60" s="29"/>
      <c r="E60" s="29"/>
    </row>
    <row r="61" spans="1:5" x14ac:dyDescent="0.25">
      <c r="A61" s="37"/>
    </row>
    <row r="62" spans="1:5" x14ac:dyDescent="0.25">
      <c r="A62" s="37"/>
    </row>
    <row r="63" spans="1:5" x14ac:dyDescent="0.25">
      <c r="A63" s="37"/>
    </row>
    <row r="64" spans="1:5" x14ac:dyDescent="0.25">
      <c r="A64" s="37"/>
      <c r="B64" s="29"/>
      <c r="C64" s="29"/>
      <c r="D64" s="29"/>
      <c r="E64" s="29"/>
    </row>
    <row r="65" spans="1:5" x14ac:dyDescent="0.25">
      <c r="A65" s="37"/>
    </row>
    <row r="66" spans="1:5" x14ac:dyDescent="0.25">
      <c r="A66" s="37"/>
      <c r="B66" s="29"/>
      <c r="C66" s="29"/>
      <c r="D66" s="29"/>
      <c r="E66" s="29"/>
    </row>
    <row r="67" spans="1:5" x14ac:dyDescent="0.25">
      <c r="A67" s="37"/>
      <c r="B67" s="29"/>
      <c r="C67" s="29"/>
      <c r="D67" s="29"/>
      <c r="E67" s="29"/>
    </row>
    <row r="68" spans="1:5" x14ac:dyDescent="0.25">
      <c r="A68" s="37"/>
    </row>
    <row r="69" spans="1:5" x14ac:dyDescent="0.25">
      <c r="A69" s="37"/>
    </row>
    <row r="70" spans="1:5" x14ac:dyDescent="0.25">
      <c r="A70" s="37"/>
      <c r="B70" s="29"/>
      <c r="C70" s="29"/>
      <c r="D70" s="29"/>
      <c r="E70" s="29"/>
    </row>
  </sheetData>
  <mergeCells count="14">
    <mergeCell ref="B58:C58"/>
    <mergeCell ref="D58:E58"/>
    <mergeCell ref="M2:M3"/>
    <mergeCell ref="N2:N3"/>
    <mergeCell ref="H1:N1"/>
    <mergeCell ref="A1:G1"/>
    <mergeCell ref="L2:L3"/>
    <mergeCell ref="A2:B2"/>
    <mergeCell ref="C2:D2"/>
    <mergeCell ref="H2:I2"/>
    <mergeCell ref="J2:K2"/>
    <mergeCell ref="E2:E3"/>
    <mergeCell ref="F2:F3"/>
    <mergeCell ref="G2:G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Q42"/>
  <sheetViews>
    <sheetView workbookViewId="0">
      <selection activeCell="G33" sqref="G33"/>
    </sheetView>
  </sheetViews>
  <sheetFormatPr defaultRowHeight="15" x14ac:dyDescent="0.25"/>
  <cols>
    <col min="2" max="2" width="11.28515625" customWidth="1"/>
    <col min="4" max="6" width="11.7109375" customWidth="1"/>
    <col min="7" max="7" width="16" customWidth="1"/>
    <col min="9" max="9" width="11.5703125" customWidth="1"/>
    <col min="11" max="11" width="10.85546875" customWidth="1"/>
    <col min="12" max="13" width="11.7109375" customWidth="1"/>
    <col min="14" max="14" width="16" customWidth="1"/>
  </cols>
  <sheetData>
    <row r="1" spans="1:14" x14ac:dyDescent="0.25">
      <c r="A1" s="238" t="s">
        <v>22</v>
      </c>
      <c r="B1" s="239"/>
      <c r="C1" s="239"/>
      <c r="D1" s="239"/>
      <c r="E1" s="239"/>
      <c r="F1" s="239"/>
      <c r="G1" s="240"/>
      <c r="H1" s="238" t="s">
        <v>23</v>
      </c>
      <c r="I1" s="239"/>
      <c r="J1" s="239"/>
      <c r="K1" s="239"/>
      <c r="L1" s="239"/>
      <c r="M1" s="239"/>
      <c r="N1" s="240"/>
    </row>
    <row r="2" spans="1:14" x14ac:dyDescent="0.25">
      <c r="A2" s="242" t="s">
        <v>18</v>
      </c>
      <c r="B2" s="243"/>
      <c r="C2" s="228" t="s">
        <v>19</v>
      </c>
      <c r="D2" s="228"/>
      <c r="E2" s="236" t="s">
        <v>127</v>
      </c>
      <c r="F2" s="236" t="s">
        <v>12</v>
      </c>
      <c r="G2" s="244" t="s">
        <v>167</v>
      </c>
      <c r="H2" s="242" t="s">
        <v>18</v>
      </c>
      <c r="I2" s="243"/>
      <c r="J2" s="228" t="s">
        <v>19</v>
      </c>
      <c r="K2" s="228"/>
      <c r="L2" s="208" t="s">
        <v>127</v>
      </c>
      <c r="M2" s="236" t="s">
        <v>12</v>
      </c>
      <c r="N2" s="237" t="s">
        <v>167</v>
      </c>
    </row>
    <row r="3" spans="1:14" x14ac:dyDescent="0.25">
      <c r="A3" s="12" t="s">
        <v>0</v>
      </c>
      <c r="B3" s="3" t="s">
        <v>20</v>
      </c>
      <c r="C3" s="19" t="s">
        <v>0</v>
      </c>
      <c r="D3" s="19" t="s">
        <v>20</v>
      </c>
      <c r="E3" s="236"/>
      <c r="F3" s="236"/>
      <c r="G3" s="244"/>
      <c r="H3" s="12" t="s">
        <v>0</v>
      </c>
      <c r="I3" s="3" t="s">
        <v>20</v>
      </c>
      <c r="J3" s="19" t="s">
        <v>0</v>
      </c>
      <c r="K3" s="19" t="s">
        <v>20</v>
      </c>
      <c r="L3" s="37"/>
      <c r="M3" s="236"/>
      <c r="N3" s="237"/>
    </row>
    <row r="4" spans="1:14" x14ac:dyDescent="0.25">
      <c r="A4" s="14">
        <v>2</v>
      </c>
      <c r="B4" s="5">
        <v>20</v>
      </c>
      <c r="C4" s="22">
        <v>2</v>
      </c>
      <c r="D4" s="22">
        <v>21</v>
      </c>
      <c r="E4" s="10">
        <f t="shared" ref="E4:E21" si="0">SUM(B4,D4)</f>
        <v>41</v>
      </c>
      <c r="F4" s="10">
        <f>'Survival_SexRatio EC'!J4</f>
        <v>6</v>
      </c>
      <c r="G4" s="211">
        <f>E4/F4</f>
        <v>6.833333333333333</v>
      </c>
      <c r="H4" s="14">
        <v>1</v>
      </c>
      <c r="I4" s="10">
        <v>2</v>
      </c>
      <c r="J4" s="22">
        <v>1</v>
      </c>
      <c r="K4" s="22">
        <v>25</v>
      </c>
      <c r="L4" s="10">
        <f>SUM(I4,K4)</f>
        <v>27</v>
      </c>
      <c r="M4" s="10">
        <f>'Survival_SexRatio EC'!V4</f>
        <v>2</v>
      </c>
      <c r="N4" s="210">
        <f>L4/M4</f>
        <v>13.5</v>
      </c>
    </row>
    <row r="5" spans="1:14" x14ac:dyDescent="0.25">
      <c r="A5" s="14">
        <v>4</v>
      </c>
      <c r="B5" s="5">
        <v>26</v>
      </c>
      <c r="C5" s="22">
        <v>4</v>
      </c>
      <c r="D5" s="22">
        <v>30</v>
      </c>
      <c r="E5" s="10">
        <f t="shared" si="0"/>
        <v>56</v>
      </c>
      <c r="F5" s="10">
        <f>'Survival_SexRatio EC'!J5</f>
        <v>4</v>
      </c>
      <c r="G5" s="211">
        <f t="shared" ref="G5:G21" si="1">E5/F5</f>
        <v>14</v>
      </c>
      <c r="H5" s="14">
        <v>2</v>
      </c>
      <c r="I5" s="10">
        <v>20</v>
      </c>
      <c r="J5" s="22">
        <v>2</v>
      </c>
      <c r="K5" s="22">
        <v>39</v>
      </c>
      <c r="L5" s="10">
        <f t="shared" ref="L5:L38" si="2">SUM(I5,K5)</f>
        <v>59</v>
      </c>
      <c r="M5" s="10">
        <f>'Survival_SexRatio EC'!V5</f>
        <v>5</v>
      </c>
      <c r="N5" s="210">
        <f t="shared" ref="N5:N38" si="3">L5/M5</f>
        <v>11.8</v>
      </c>
    </row>
    <row r="6" spans="1:14" x14ac:dyDescent="0.25">
      <c r="A6" s="14">
        <v>6</v>
      </c>
      <c r="B6" s="5">
        <v>27</v>
      </c>
      <c r="C6" s="22">
        <v>6</v>
      </c>
      <c r="D6" s="22">
        <v>33</v>
      </c>
      <c r="E6" s="10">
        <f t="shared" si="0"/>
        <v>60</v>
      </c>
      <c r="F6" s="10">
        <f>'Survival_SexRatio EC'!J6</f>
        <v>4</v>
      </c>
      <c r="G6" s="211">
        <f t="shared" si="1"/>
        <v>15</v>
      </c>
      <c r="H6" s="14">
        <v>3</v>
      </c>
      <c r="I6" s="10">
        <v>24</v>
      </c>
      <c r="J6" s="22">
        <v>3</v>
      </c>
      <c r="K6" s="22">
        <v>45</v>
      </c>
      <c r="L6" s="10">
        <f t="shared" si="2"/>
        <v>69</v>
      </c>
      <c r="M6" s="10">
        <f>'Survival_SexRatio EC'!V6</f>
        <v>5</v>
      </c>
      <c r="N6" s="210">
        <f t="shared" si="3"/>
        <v>13.8</v>
      </c>
    </row>
    <row r="7" spans="1:14" x14ac:dyDescent="0.25">
      <c r="A7" s="14">
        <v>7</v>
      </c>
      <c r="B7" s="10">
        <v>19</v>
      </c>
      <c r="C7" s="22">
        <v>7</v>
      </c>
      <c r="D7" s="22">
        <v>35</v>
      </c>
      <c r="E7" s="10">
        <f t="shared" si="0"/>
        <v>54</v>
      </c>
      <c r="F7" s="10">
        <f>'Survival_SexRatio EC'!J7</f>
        <v>5</v>
      </c>
      <c r="G7" s="211">
        <f t="shared" si="1"/>
        <v>10.8</v>
      </c>
      <c r="H7" s="14">
        <v>4</v>
      </c>
      <c r="I7" s="10">
        <v>18</v>
      </c>
      <c r="J7" s="22">
        <v>4</v>
      </c>
      <c r="K7" s="22">
        <v>43</v>
      </c>
      <c r="L7" s="10">
        <f t="shared" si="2"/>
        <v>61</v>
      </c>
      <c r="M7" s="10">
        <f>'Survival_SexRatio EC'!V7</f>
        <v>5</v>
      </c>
      <c r="N7" s="210">
        <f t="shared" si="3"/>
        <v>12.2</v>
      </c>
    </row>
    <row r="8" spans="1:14" x14ac:dyDescent="0.25">
      <c r="A8" s="14">
        <v>11</v>
      </c>
      <c r="B8" s="10">
        <v>4</v>
      </c>
      <c r="C8" s="22">
        <v>11</v>
      </c>
      <c r="D8" s="22">
        <v>14</v>
      </c>
      <c r="E8" s="10">
        <f t="shared" si="0"/>
        <v>18</v>
      </c>
      <c r="F8" s="10">
        <f>'Survival_SexRatio EC'!J8</f>
        <v>3</v>
      </c>
      <c r="G8" s="211">
        <f t="shared" si="1"/>
        <v>6</v>
      </c>
      <c r="H8" s="14">
        <v>5</v>
      </c>
      <c r="I8" s="10">
        <v>17</v>
      </c>
      <c r="J8" s="22">
        <v>5</v>
      </c>
      <c r="K8" s="22">
        <v>25</v>
      </c>
      <c r="L8" s="10">
        <f t="shared" si="2"/>
        <v>42</v>
      </c>
      <c r="M8" s="10">
        <f>'Survival_SexRatio EC'!V8</f>
        <v>4</v>
      </c>
      <c r="N8" s="210">
        <f t="shared" si="3"/>
        <v>10.5</v>
      </c>
    </row>
    <row r="9" spans="1:14" x14ac:dyDescent="0.25">
      <c r="A9" s="14">
        <v>14</v>
      </c>
      <c r="B9" s="10">
        <v>11</v>
      </c>
      <c r="C9" s="22">
        <v>14</v>
      </c>
      <c r="D9" s="22">
        <v>35</v>
      </c>
      <c r="E9" s="10">
        <f t="shared" si="0"/>
        <v>46</v>
      </c>
      <c r="F9" s="10">
        <f>'Survival_SexRatio EC'!J9</f>
        <v>7</v>
      </c>
      <c r="G9" s="211">
        <f t="shared" si="1"/>
        <v>6.5714285714285712</v>
      </c>
      <c r="H9" s="14">
        <v>6</v>
      </c>
      <c r="I9" s="10">
        <v>14</v>
      </c>
      <c r="J9" s="22">
        <v>6</v>
      </c>
      <c r="K9" s="22">
        <v>13</v>
      </c>
      <c r="L9" s="10">
        <f t="shared" si="2"/>
        <v>27</v>
      </c>
      <c r="M9" s="10">
        <f>'Survival_SexRatio EC'!V9</f>
        <v>6</v>
      </c>
      <c r="N9" s="210">
        <f t="shared" si="3"/>
        <v>4.5</v>
      </c>
    </row>
    <row r="10" spans="1:14" x14ac:dyDescent="0.25">
      <c r="A10" s="14">
        <v>17</v>
      </c>
      <c r="B10" s="10">
        <v>5</v>
      </c>
      <c r="C10" s="22">
        <v>17</v>
      </c>
      <c r="D10" s="22">
        <v>8</v>
      </c>
      <c r="E10" s="10">
        <f t="shared" si="0"/>
        <v>13</v>
      </c>
      <c r="F10" s="10">
        <f>'Survival_SexRatio EC'!J10</f>
        <v>2</v>
      </c>
      <c r="G10" s="211">
        <f t="shared" si="1"/>
        <v>6.5</v>
      </c>
      <c r="H10" s="14">
        <v>7</v>
      </c>
      <c r="I10" s="10">
        <v>14</v>
      </c>
      <c r="J10" s="22">
        <v>7</v>
      </c>
      <c r="K10" s="22">
        <v>16</v>
      </c>
      <c r="L10" s="10">
        <f t="shared" si="2"/>
        <v>30</v>
      </c>
      <c r="M10" s="10">
        <f>'Survival_SexRatio EC'!V10</f>
        <v>3</v>
      </c>
      <c r="N10" s="210">
        <f t="shared" si="3"/>
        <v>10</v>
      </c>
    </row>
    <row r="11" spans="1:14" x14ac:dyDescent="0.25">
      <c r="A11" s="14">
        <v>18</v>
      </c>
      <c r="B11" s="10">
        <v>25</v>
      </c>
      <c r="C11" s="22">
        <v>18</v>
      </c>
      <c r="D11" s="22">
        <v>19</v>
      </c>
      <c r="E11" s="10">
        <f t="shared" si="0"/>
        <v>44</v>
      </c>
      <c r="F11" s="10">
        <f>'Survival_SexRatio EC'!J11</f>
        <v>5</v>
      </c>
      <c r="G11" s="211">
        <f t="shared" si="1"/>
        <v>8.8000000000000007</v>
      </c>
      <c r="H11" s="14">
        <v>8</v>
      </c>
      <c r="I11" s="10">
        <v>28</v>
      </c>
      <c r="J11" s="22">
        <v>8</v>
      </c>
      <c r="K11" s="22">
        <v>46</v>
      </c>
      <c r="L11" s="10">
        <f t="shared" si="2"/>
        <v>74</v>
      </c>
      <c r="M11" s="10">
        <f>'Survival_SexRatio EC'!V11</f>
        <v>5</v>
      </c>
      <c r="N11" s="210">
        <f t="shared" si="3"/>
        <v>14.8</v>
      </c>
    </row>
    <row r="12" spans="1:14" x14ac:dyDescent="0.25">
      <c r="A12" s="14">
        <v>19</v>
      </c>
      <c r="B12" s="10">
        <v>14</v>
      </c>
      <c r="C12" s="22">
        <v>19</v>
      </c>
      <c r="D12" s="22">
        <v>34</v>
      </c>
      <c r="E12" s="10">
        <f t="shared" si="0"/>
        <v>48</v>
      </c>
      <c r="F12" s="10">
        <f>'Survival_SexRatio EC'!J12</f>
        <v>4</v>
      </c>
      <c r="G12" s="211">
        <f t="shared" si="1"/>
        <v>12</v>
      </c>
      <c r="H12" s="14">
        <v>9</v>
      </c>
      <c r="I12" s="10">
        <v>12</v>
      </c>
      <c r="J12" s="22">
        <v>9</v>
      </c>
      <c r="K12" s="22">
        <v>8</v>
      </c>
      <c r="L12" s="10">
        <f t="shared" si="2"/>
        <v>20</v>
      </c>
      <c r="M12" s="10">
        <f>'Survival_SexRatio EC'!V12</f>
        <v>3</v>
      </c>
      <c r="N12" s="210">
        <f t="shared" si="3"/>
        <v>6.666666666666667</v>
      </c>
    </row>
    <row r="13" spans="1:14" x14ac:dyDescent="0.25">
      <c r="A13" s="14">
        <v>20</v>
      </c>
      <c r="B13" s="10">
        <v>17</v>
      </c>
      <c r="C13" s="22">
        <v>20</v>
      </c>
      <c r="D13" s="22">
        <v>14</v>
      </c>
      <c r="E13" s="10">
        <f t="shared" si="0"/>
        <v>31</v>
      </c>
      <c r="F13" s="10">
        <f>'Survival_SexRatio EC'!J13</f>
        <v>4</v>
      </c>
      <c r="G13" s="211">
        <f t="shared" si="1"/>
        <v>7.75</v>
      </c>
      <c r="H13" s="14">
        <v>10</v>
      </c>
      <c r="I13" s="10">
        <v>21</v>
      </c>
      <c r="J13" s="22">
        <v>10</v>
      </c>
      <c r="K13" s="22">
        <v>58</v>
      </c>
      <c r="L13" s="10">
        <f t="shared" si="2"/>
        <v>79</v>
      </c>
      <c r="M13" s="10">
        <f>'Survival_SexRatio EC'!V13</f>
        <v>6</v>
      </c>
      <c r="N13" s="210">
        <f t="shared" si="3"/>
        <v>13.166666666666666</v>
      </c>
    </row>
    <row r="14" spans="1:14" x14ac:dyDescent="0.25">
      <c r="A14" s="14">
        <v>21</v>
      </c>
      <c r="B14" s="10">
        <v>18</v>
      </c>
      <c r="C14" s="22">
        <v>21</v>
      </c>
      <c r="D14" s="22">
        <v>18</v>
      </c>
      <c r="E14" s="10">
        <f t="shared" si="0"/>
        <v>36</v>
      </c>
      <c r="F14" s="10">
        <f>'Survival_SexRatio EC'!J14</f>
        <v>5</v>
      </c>
      <c r="G14" s="211">
        <f t="shared" si="1"/>
        <v>7.2</v>
      </c>
      <c r="H14" s="14">
        <v>11</v>
      </c>
      <c r="I14" s="10">
        <v>24</v>
      </c>
      <c r="J14" s="22">
        <v>11</v>
      </c>
      <c r="K14" s="22"/>
      <c r="L14" s="10">
        <f t="shared" si="2"/>
        <v>24</v>
      </c>
      <c r="M14" s="10">
        <f>'Survival_SexRatio EC'!V14</f>
        <v>3</v>
      </c>
      <c r="N14" s="210">
        <f t="shared" si="3"/>
        <v>8</v>
      </c>
    </row>
    <row r="15" spans="1:14" x14ac:dyDescent="0.25">
      <c r="A15" s="14">
        <v>22</v>
      </c>
      <c r="B15" s="10">
        <v>7</v>
      </c>
      <c r="C15" s="22">
        <v>22</v>
      </c>
      <c r="D15" s="22">
        <v>15</v>
      </c>
      <c r="E15" s="10">
        <f t="shared" si="0"/>
        <v>22</v>
      </c>
      <c r="F15" s="10">
        <f>'Survival_SexRatio EC'!J15</f>
        <v>4</v>
      </c>
      <c r="G15" s="211">
        <f t="shared" si="1"/>
        <v>5.5</v>
      </c>
      <c r="H15" s="14">
        <v>12</v>
      </c>
      <c r="I15" s="10">
        <v>31</v>
      </c>
      <c r="J15" s="22">
        <v>12</v>
      </c>
      <c r="K15" s="22">
        <v>26</v>
      </c>
      <c r="L15" s="10">
        <f t="shared" si="2"/>
        <v>57</v>
      </c>
      <c r="M15" s="10">
        <f>'Survival_SexRatio EC'!V15</f>
        <v>3</v>
      </c>
      <c r="N15" s="210">
        <f t="shared" si="3"/>
        <v>19</v>
      </c>
    </row>
    <row r="16" spans="1:14" x14ac:dyDescent="0.25">
      <c r="A16" s="14">
        <v>27</v>
      </c>
      <c r="B16" s="10">
        <v>7</v>
      </c>
      <c r="C16" s="22">
        <v>27</v>
      </c>
      <c r="D16" s="22">
        <v>11</v>
      </c>
      <c r="E16" s="10">
        <f t="shared" si="0"/>
        <v>18</v>
      </c>
      <c r="F16" s="10">
        <f>'Survival_SexRatio EC'!J16</f>
        <v>6</v>
      </c>
      <c r="G16" s="211">
        <f t="shared" si="1"/>
        <v>3</v>
      </c>
      <c r="H16" s="14">
        <v>13</v>
      </c>
      <c r="I16" s="10">
        <v>4</v>
      </c>
      <c r="J16" s="22">
        <v>13</v>
      </c>
      <c r="K16" s="22">
        <v>19</v>
      </c>
      <c r="L16" s="10">
        <f t="shared" si="2"/>
        <v>23</v>
      </c>
      <c r="M16" s="10">
        <f>'Survival_SexRatio EC'!V16</f>
        <v>2</v>
      </c>
      <c r="N16" s="210">
        <f t="shared" si="3"/>
        <v>11.5</v>
      </c>
    </row>
    <row r="17" spans="1:14" x14ac:dyDescent="0.25">
      <c r="A17" s="14">
        <v>28</v>
      </c>
      <c r="B17" s="10">
        <v>9</v>
      </c>
      <c r="C17" s="22">
        <v>28</v>
      </c>
      <c r="D17" s="22">
        <v>0</v>
      </c>
      <c r="E17" s="10">
        <f t="shared" si="0"/>
        <v>9</v>
      </c>
      <c r="F17" s="10">
        <f>'Survival_SexRatio EC'!J17</f>
        <v>1</v>
      </c>
      <c r="G17" s="211">
        <f t="shared" si="1"/>
        <v>9</v>
      </c>
      <c r="H17" s="14">
        <v>14</v>
      </c>
      <c r="I17" s="10">
        <v>37</v>
      </c>
      <c r="J17" s="22">
        <v>14</v>
      </c>
      <c r="K17" s="22">
        <v>58</v>
      </c>
      <c r="L17" s="10">
        <f t="shared" si="2"/>
        <v>95</v>
      </c>
      <c r="M17" s="10">
        <f>'Survival_SexRatio EC'!V17</f>
        <v>6</v>
      </c>
      <c r="N17" s="210">
        <f t="shared" si="3"/>
        <v>15.833333333333334</v>
      </c>
    </row>
    <row r="18" spans="1:14" x14ac:dyDescent="0.25">
      <c r="A18" s="14">
        <v>29</v>
      </c>
      <c r="B18" s="10">
        <v>37</v>
      </c>
      <c r="C18" s="22">
        <v>29</v>
      </c>
      <c r="D18" s="22">
        <v>36</v>
      </c>
      <c r="E18" s="10">
        <f t="shared" si="0"/>
        <v>73</v>
      </c>
      <c r="F18" s="10">
        <f>'Survival_SexRatio EC'!J18</f>
        <v>8</v>
      </c>
      <c r="G18" s="211">
        <f t="shared" si="1"/>
        <v>9.125</v>
      </c>
      <c r="H18" s="14">
        <v>15</v>
      </c>
      <c r="I18" s="10">
        <v>34</v>
      </c>
      <c r="J18" s="22">
        <v>15</v>
      </c>
      <c r="K18" s="22">
        <v>21</v>
      </c>
      <c r="L18" s="10">
        <f t="shared" si="2"/>
        <v>55</v>
      </c>
      <c r="M18" s="10">
        <f>'Survival_SexRatio EC'!V18</f>
        <v>5</v>
      </c>
      <c r="N18" s="210">
        <f t="shared" si="3"/>
        <v>11</v>
      </c>
    </row>
    <row r="19" spans="1:14" x14ac:dyDescent="0.25">
      <c r="A19" s="14">
        <v>30</v>
      </c>
      <c r="B19" s="10">
        <v>33</v>
      </c>
      <c r="C19" s="22">
        <v>30</v>
      </c>
      <c r="D19" s="22">
        <v>46</v>
      </c>
      <c r="E19" s="10">
        <f t="shared" si="0"/>
        <v>79</v>
      </c>
      <c r="F19" s="10">
        <f>'Survival_SexRatio EC'!J19</f>
        <v>7</v>
      </c>
      <c r="G19" s="211">
        <f t="shared" si="1"/>
        <v>11.285714285714286</v>
      </c>
      <c r="H19" s="14">
        <v>16</v>
      </c>
      <c r="I19" s="10">
        <v>3</v>
      </c>
      <c r="J19" s="22">
        <v>16</v>
      </c>
      <c r="K19" s="22">
        <v>23</v>
      </c>
      <c r="L19" s="10">
        <f t="shared" si="2"/>
        <v>26</v>
      </c>
      <c r="M19" s="10">
        <f>'Survival_SexRatio EC'!V19</f>
        <v>4</v>
      </c>
      <c r="N19" s="210">
        <f t="shared" si="3"/>
        <v>6.5</v>
      </c>
    </row>
    <row r="20" spans="1:14" x14ac:dyDescent="0.25">
      <c r="A20" s="14">
        <v>31</v>
      </c>
      <c r="B20" s="10">
        <v>31</v>
      </c>
      <c r="C20" s="22">
        <v>31</v>
      </c>
      <c r="D20" s="22">
        <v>54</v>
      </c>
      <c r="E20" s="10">
        <f t="shared" si="0"/>
        <v>85</v>
      </c>
      <c r="F20" s="10">
        <f>'Survival_SexRatio EC'!J20</f>
        <v>7</v>
      </c>
      <c r="G20" s="211">
        <f t="shared" si="1"/>
        <v>12.142857142857142</v>
      </c>
      <c r="H20" s="14">
        <v>17</v>
      </c>
      <c r="I20" s="10">
        <v>16</v>
      </c>
      <c r="J20" s="22">
        <v>17</v>
      </c>
      <c r="K20" s="22">
        <v>39</v>
      </c>
      <c r="L20" s="10">
        <f t="shared" si="2"/>
        <v>55</v>
      </c>
      <c r="M20" s="10">
        <f>'Survival_SexRatio EC'!V20</f>
        <v>4</v>
      </c>
      <c r="N20" s="210">
        <f t="shared" si="3"/>
        <v>13.75</v>
      </c>
    </row>
    <row r="21" spans="1:14" x14ac:dyDescent="0.25">
      <c r="A21" s="14">
        <v>32</v>
      </c>
      <c r="B21" s="10">
        <v>25</v>
      </c>
      <c r="C21" s="22">
        <v>32</v>
      </c>
      <c r="D21" s="22">
        <v>33</v>
      </c>
      <c r="E21" s="10">
        <f t="shared" si="0"/>
        <v>58</v>
      </c>
      <c r="F21" s="10">
        <f>'Survival_SexRatio EC'!J21</f>
        <v>5</v>
      </c>
      <c r="G21" s="211">
        <f t="shared" si="1"/>
        <v>11.6</v>
      </c>
      <c r="H21" s="14">
        <v>18</v>
      </c>
      <c r="I21" s="10">
        <v>10</v>
      </c>
      <c r="J21" s="22">
        <v>18</v>
      </c>
      <c r="K21" s="22">
        <v>43</v>
      </c>
      <c r="L21" s="10">
        <f t="shared" si="2"/>
        <v>53</v>
      </c>
      <c r="M21" s="10">
        <f>'Survival_SexRatio EC'!V21</f>
        <v>5</v>
      </c>
      <c r="N21" s="210">
        <f t="shared" si="3"/>
        <v>10.6</v>
      </c>
    </row>
    <row r="22" spans="1:14" x14ac:dyDescent="0.25">
      <c r="A22" s="14"/>
      <c r="B22" s="7"/>
      <c r="C22" s="22"/>
      <c r="D22" s="23"/>
      <c r="E22" s="38"/>
      <c r="F22" s="38"/>
      <c r="G22" s="23"/>
      <c r="H22" s="14">
        <v>19</v>
      </c>
      <c r="I22" s="10">
        <v>30</v>
      </c>
      <c r="J22" s="22">
        <v>19</v>
      </c>
      <c r="K22" s="22">
        <v>48</v>
      </c>
      <c r="L22" s="10">
        <f t="shared" si="2"/>
        <v>78</v>
      </c>
      <c r="M22" s="10">
        <f>'Survival_SexRatio EC'!V22</f>
        <v>6</v>
      </c>
      <c r="N22" s="210">
        <f t="shared" si="3"/>
        <v>13</v>
      </c>
    </row>
    <row r="23" spans="1:14" x14ac:dyDescent="0.25">
      <c r="A23" s="12" t="s">
        <v>21</v>
      </c>
      <c r="B23" s="3">
        <f>SUM(B4:B21)</f>
        <v>335</v>
      </c>
      <c r="C23" s="19" t="s">
        <v>21</v>
      </c>
      <c r="D23" s="19">
        <f>SUM(D4:D21)</f>
        <v>456</v>
      </c>
      <c r="E23" s="37">
        <f>SUM(E4:E21)</f>
        <v>791</v>
      </c>
      <c r="F23" s="37"/>
      <c r="G23" s="58">
        <f>SUM(G4:G21)</f>
        <v>163.10833333333329</v>
      </c>
      <c r="H23" s="14">
        <v>20</v>
      </c>
      <c r="I23" s="10">
        <v>17</v>
      </c>
      <c r="J23" s="22">
        <v>20</v>
      </c>
      <c r="K23" s="22">
        <v>29</v>
      </c>
      <c r="L23" s="10">
        <f t="shared" si="2"/>
        <v>46</v>
      </c>
      <c r="M23" s="10">
        <f>'Survival_SexRatio EC'!V23</f>
        <v>4</v>
      </c>
      <c r="N23" s="210">
        <f t="shared" si="3"/>
        <v>11.5</v>
      </c>
    </row>
    <row r="24" spans="1:14" x14ac:dyDescent="0.25">
      <c r="A24" s="12" t="s">
        <v>4</v>
      </c>
      <c r="B24" s="16">
        <f>AVERAGE(B4:B21)</f>
        <v>18.611111111111111</v>
      </c>
      <c r="C24" s="19" t="s">
        <v>4</v>
      </c>
      <c r="D24" s="58">
        <f>AVERAGE(D4:D21)</f>
        <v>25.333333333333332</v>
      </c>
      <c r="E24" s="206">
        <f>AVERAGE(E4:E21)</f>
        <v>43.944444444444443</v>
      </c>
      <c r="F24" s="206"/>
      <c r="G24" s="58">
        <f>AVERAGE(G4:G21)</f>
        <v>9.0615740740740716</v>
      </c>
      <c r="H24" s="14">
        <v>21</v>
      </c>
      <c r="I24" s="10">
        <v>14</v>
      </c>
      <c r="J24" s="22">
        <v>21</v>
      </c>
      <c r="K24" s="22">
        <v>43</v>
      </c>
      <c r="L24" s="10">
        <f t="shared" si="2"/>
        <v>57</v>
      </c>
      <c r="M24" s="10">
        <f>'Survival_SexRatio EC'!V24</f>
        <v>4</v>
      </c>
      <c r="N24" s="210">
        <f t="shared" si="3"/>
        <v>14.25</v>
      </c>
    </row>
    <row r="25" spans="1:14" ht="15.75" thickBot="1" x14ac:dyDescent="0.3">
      <c r="A25" s="17" t="s">
        <v>5</v>
      </c>
      <c r="B25" s="209">
        <f>STDEV(B4:B21)</f>
        <v>10.146798329516027</v>
      </c>
      <c r="C25" s="50" t="s">
        <v>5</v>
      </c>
      <c r="D25" s="112">
        <f>STDEV(D4:D21)</f>
        <v>14.117156854234453</v>
      </c>
      <c r="E25" s="212">
        <f>STDEV(E4:E21)</f>
        <v>22.657221215378872</v>
      </c>
      <c r="F25" s="212"/>
      <c r="G25" s="112">
        <f>STDEV(G4:G21)</f>
        <v>3.1991205119135255</v>
      </c>
      <c r="H25" s="14">
        <v>22</v>
      </c>
      <c r="I25" s="10">
        <v>1</v>
      </c>
      <c r="J25" s="22">
        <v>22</v>
      </c>
      <c r="K25" s="22">
        <v>15</v>
      </c>
      <c r="L25" s="10">
        <f t="shared" si="2"/>
        <v>16</v>
      </c>
      <c r="M25" s="10">
        <v>5</v>
      </c>
      <c r="N25" s="210">
        <f t="shared" si="3"/>
        <v>3.2</v>
      </c>
    </row>
    <row r="26" spans="1:14" x14ac:dyDescent="0.25">
      <c r="H26" s="14">
        <v>23</v>
      </c>
      <c r="I26" s="10">
        <v>23</v>
      </c>
      <c r="J26" s="22">
        <v>23</v>
      </c>
      <c r="K26" s="22">
        <v>41</v>
      </c>
      <c r="L26" s="10">
        <f t="shared" si="2"/>
        <v>64</v>
      </c>
      <c r="M26" s="10">
        <f>'Survival_SexRatio EC'!V26</f>
        <v>4</v>
      </c>
      <c r="N26" s="210">
        <f t="shared" si="3"/>
        <v>16</v>
      </c>
    </row>
    <row r="27" spans="1:14" x14ac:dyDescent="0.25">
      <c r="A27" s="37"/>
      <c r="H27" s="14">
        <v>24</v>
      </c>
      <c r="I27" s="10">
        <v>15</v>
      </c>
      <c r="J27" s="22">
        <v>24</v>
      </c>
      <c r="K27" s="22">
        <v>23</v>
      </c>
      <c r="L27" s="10">
        <f t="shared" si="2"/>
        <v>38</v>
      </c>
      <c r="M27" s="10">
        <f>'Survival_SexRatio EC'!V27</f>
        <v>4</v>
      </c>
      <c r="N27" s="210">
        <f t="shared" si="3"/>
        <v>9.5</v>
      </c>
    </row>
    <row r="28" spans="1:14" x14ac:dyDescent="0.25">
      <c r="A28" s="37"/>
      <c r="H28" s="14">
        <v>25</v>
      </c>
      <c r="I28" s="10">
        <v>24</v>
      </c>
      <c r="J28" s="22">
        <v>25</v>
      </c>
      <c r="K28" s="22">
        <v>39</v>
      </c>
      <c r="L28" s="10">
        <f t="shared" si="2"/>
        <v>63</v>
      </c>
      <c r="M28" s="10">
        <f>'Survival_SexRatio EC'!V28</f>
        <v>4</v>
      </c>
      <c r="N28" s="210">
        <f t="shared" si="3"/>
        <v>15.75</v>
      </c>
    </row>
    <row r="29" spans="1:14" x14ac:dyDescent="0.25">
      <c r="A29" s="37"/>
      <c r="H29" s="14">
        <v>26</v>
      </c>
      <c r="I29" s="10">
        <v>11</v>
      </c>
      <c r="J29" s="22">
        <v>26</v>
      </c>
      <c r="K29" s="22">
        <v>18</v>
      </c>
      <c r="L29" s="10">
        <f t="shared" si="2"/>
        <v>29</v>
      </c>
      <c r="M29" s="10">
        <f>'Survival_SexRatio EC'!V29</f>
        <v>5</v>
      </c>
      <c r="N29" s="210">
        <f t="shared" si="3"/>
        <v>5.8</v>
      </c>
    </row>
    <row r="30" spans="1:14" x14ac:dyDescent="0.25">
      <c r="A30" s="37"/>
      <c r="H30" s="14">
        <v>27</v>
      </c>
      <c r="I30" s="10">
        <v>4</v>
      </c>
      <c r="J30" s="22">
        <v>27</v>
      </c>
      <c r="K30" s="22">
        <v>21</v>
      </c>
      <c r="L30" s="10">
        <f t="shared" si="2"/>
        <v>25</v>
      </c>
      <c r="M30" s="10">
        <f>'Survival_SexRatio EC'!V30</f>
        <v>3</v>
      </c>
      <c r="N30" s="210">
        <f t="shared" si="3"/>
        <v>8.3333333333333339</v>
      </c>
    </row>
    <row r="31" spans="1:14" x14ac:dyDescent="0.25">
      <c r="A31" s="37"/>
      <c r="H31" s="14">
        <v>28</v>
      </c>
      <c r="I31" s="10">
        <v>23</v>
      </c>
      <c r="J31" s="22">
        <v>28</v>
      </c>
      <c r="K31" s="22">
        <v>5</v>
      </c>
      <c r="L31" s="10">
        <f t="shared" si="2"/>
        <v>28</v>
      </c>
      <c r="M31" s="10">
        <f>'Survival_SexRatio EC'!V31</f>
        <v>3</v>
      </c>
      <c r="N31" s="210">
        <f t="shared" si="3"/>
        <v>9.3333333333333339</v>
      </c>
    </row>
    <row r="32" spans="1:14" x14ac:dyDescent="0.25">
      <c r="A32" s="37"/>
      <c r="H32" s="14">
        <v>29</v>
      </c>
      <c r="I32" s="10">
        <v>10</v>
      </c>
      <c r="J32" s="22">
        <v>29</v>
      </c>
      <c r="K32" s="22">
        <v>51</v>
      </c>
      <c r="L32" s="10">
        <f t="shared" si="2"/>
        <v>61</v>
      </c>
      <c r="M32" s="10">
        <f>'Survival_SexRatio EC'!V32</f>
        <v>3</v>
      </c>
      <c r="N32" s="210">
        <f t="shared" si="3"/>
        <v>20.333333333333332</v>
      </c>
    </row>
    <row r="33" spans="1:17" x14ac:dyDescent="0.25">
      <c r="A33" s="37"/>
      <c r="H33" s="14">
        <v>30</v>
      </c>
      <c r="I33" s="10">
        <v>14</v>
      </c>
      <c r="J33" s="22">
        <v>30</v>
      </c>
      <c r="K33" s="22">
        <v>26</v>
      </c>
      <c r="L33" s="10">
        <f t="shared" si="2"/>
        <v>40</v>
      </c>
      <c r="M33" s="10">
        <f>'Survival_SexRatio EC'!V33</f>
        <v>4</v>
      </c>
      <c r="N33" s="210">
        <f t="shared" si="3"/>
        <v>10</v>
      </c>
    </row>
    <row r="34" spans="1:17" x14ac:dyDescent="0.25">
      <c r="A34" s="37"/>
      <c r="H34" s="14">
        <v>31</v>
      </c>
      <c r="I34" s="10">
        <v>18</v>
      </c>
      <c r="J34" s="22">
        <v>31</v>
      </c>
      <c r="K34" s="22">
        <v>34</v>
      </c>
      <c r="L34" s="10">
        <f t="shared" si="2"/>
        <v>52</v>
      </c>
      <c r="M34" s="10">
        <f>'Survival_SexRatio EC'!V34</f>
        <v>3</v>
      </c>
      <c r="N34" s="210">
        <f t="shared" si="3"/>
        <v>17.333333333333332</v>
      </c>
    </row>
    <row r="35" spans="1:17" x14ac:dyDescent="0.25">
      <c r="A35" s="37"/>
      <c r="H35" s="14">
        <v>32</v>
      </c>
      <c r="I35" s="10">
        <v>8</v>
      </c>
      <c r="J35" s="22">
        <v>32</v>
      </c>
      <c r="K35" s="22">
        <v>22</v>
      </c>
      <c r="L35" s="10">
        <f t="shared" si="2"/>
        <v>30</v>
      </c>
      <c r="M35" s="10">
        <f>'Survival_SexRatio EC'!V35</f>
        <v>3</v>
      </c>
      <c r="N35" s="210">
        <f t="shared" si="3"/>
        <v>10</v>
      </c>
      <c r="Q35" s="179"/>
    </row>
    <row r="36" spans="1:17" x14ac:dyDescent="0.25">
      <c r="A36" s="37"/>
      <c r="H36" s="14">
        <v>33</v>
      </c>
      <c r="I36" s="10">
        <v>10</v>
      </c>
      <c r="J36" s="22">
        <v>33</v>
      </c>
      <c r="K36" s="22">
        <v>52</v>
      </c>
      <c r="L36" s="10">
        <f t="shared" si="2"/>
        <v>62</v>
      </c>
      <c r="M36" s="10">
        <f>'Survival_SexRatio EC'!V36</f>
        <v>6</v>
      </c>
      <c r="N36" s="210">
        <f t="shared" si="3"/>
        <v>10.333333333333334</v>
      </c>
    </row>
    <row r="37" spans="1:17" x14ac:dyDescent="0.25">
      <c r="A37" s="37"/>
      <c r="H37" s="14">
        <v>34</v>
      </c>
      <c r="I37" s="10">
        <v>13</v>
      </c>
      <c r="J37" s="22">
        <v>34</v>
      </c>
      <c r="K37" s="22">
        <v>7</v>
      </c>
      <c r="L37" s="10">
        <f t="shared" si="2"/>
        <v>20</v>
      </c>
      <c r="M37" s="10">
        <f>'Survival_SexRatio EC'!V37</f>
        <v>1</v>
      </c>
      <c r="N37" s="210">
        <f t="shared" si="3"/>
        <v>20</v>
      </c>
    </row>
    <row r="38" spans="1:17" x14ac:dyDescent="0.25">
      <c r="H38" s="14">
        <v>35</v>
      </c>
      <c r="I38" s="10">
        <v>4</v>
      </c>
      <c r="J38" s="22">
        <v>35</v>
      </c>
      <c r="K38" s="22">
        <v>3</v>
      </c>
      <c r="L38" s="10">
        <f t="shared" si="2"/>
        <v>7</v>
      </c>
      <c r="M38" s="10">
        <f>'Survival_SexRatio EC'!V38</f>
        <v>2</v>
      </c>
      <c r="N38" s="210">
        <f t="shared" si="3"/>
        <v>3.5</v>
      </c>
    </row>
    <row r="39" spans="1:17" x14ac:dyDescent="0.25">
      <c r="H39" s="14"/>
      <c r="I39" s="7"/>
      <c r="J39" s="22"/>
      <c r="K39" s="23"/>
      <c r="L39" s="38"/>
      <c r="M39" s="10"/>
      <c r="N39" s="44"/>
    </row>
    <row r="40" spans="1:17" x14ac:dyDescent="0.25">
      <c r="H40" s="12" t="s">
        <v>21</v>
      </c>
      <c r="I40" s="3">
        <f>SUM(I4:I38)</f>
        <v>568</v>
      </c>
      <c r="J40" s="19" t="s">
        <v>21</v>
      </c>
      <c r="K40" s="19">
        <f>SUM(K4:K38)</f>
        <v>1024</v>
      </c>
      <c r="L40" s="37">
        <f>SUM(L4:L38)</f>
        <v>1592</v>
      </c>
      <c r="M40" s="10"/>
      <c r="N40" s="59">
        <f>SUM(N4:N38)</f>
        <v>405.28333333333325</v>
      </c>
    </row>
    <row r="41" spans="1:17" x14ac:dyDescent="0.25">
      <c r="H41" s="12" t="s">
        <v>4</v>
      </c>
      <c r="I41" s="16">
        <f>AVERAGE(I4:I38)</f>
        <v>16.228571428571428</v>
      </c>
      <c r="J41" s="19" t="s">
        <v>4</v>
      </c>
      <c r="K41" s="58">
        <f>AVERAGE(K4:K38)</f>
        <v>30.117647058823529</v>
      </c>
      <c r="L41" s="206">
        <f>AVERAGE(L4:L38)</f>
        <v>45.485714285714288</v>
      </c>
      <c r="M41" s="10"/>
      <c r="N41" s="59">
        <f>AVERAGE(N4:N38)</f>
        <v>11.579523809523806</v>
      </c>
    </row>
    <row r="42" spans="1:17" ht="15.75" thickBot="1" x14ac:dyDescent="0.3">
      <c r="H42" s="17" t="s">
        <v>5</v>
      </c>
      <c r="I42" s="209">
        <f>STDEV(I4:I38)</f>
        <v>9.2833998408472098</v>
      </c>
      <c r="J42" s="50" t="s">
        <v>5</v>
      </c>
      <c r="K42" s="112">
        <f>STDEV(K4:K38)</f>
        <v>15.505159856469977</v>
      </c>
      <c r="L42" s="212">
        <f>STDEV(L4:L38)</f>
        <v>21.271869616345199</v>
      </c>
      <c r="M42" s="213"/>
      <c r="N42" s="60">
        <f>STDEV(N4:N38)</f>
        <v>4.3376657936977097</v>
      </c>
    </row>
  </sheetData>
  <mergeCells count="11">
    <mergeCell ref="M2:M3"/>
    <mergeCell ref="N2:N3"/>
    <mergeCell ref="H1:N1"/>
    <mergeCell ref="A1:G1"/>
    <mergeCell ref="A2:B2"/>
    <mergeCell ref="C2:D2"/>
    <mergeCell ref="H2:I2"/>
    <mergeCell ref="J2:K2"/>
    <mergeCell ref="E2:E3"/>
    <mergeCell ref="F2:F3"/>
    <mergeCell ref="G2:G3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63"/>
  <sheetViews>
    <sheetView workbookViewId="0">
      <selection activeCell="F50" sqref="F50"/>
    </sheetView>
  </sheetViews>
  <sheetFormatPr defaultRowHeight="15" x14ac:dyDescent="0.25"/>
  <cols>
    <col min="1" max="1" width="11.7109375" customWidth="1"/>
    <col min="2" max="2" width="11.7109375" style="64" customWidth="1"/>
    <col min="3" max="3" width="11.7109375" style="29" customWidth="1"/>
    <col min="4" max="5" width="11.7109375" customWidth="1"/>
    <col min="6" max="6" width="11.7109375" style="168" customWidth="1"/>
    <col min="7" max="7" width="10.5703125" style="64" customWidth="1"/>
    <col min="8" max="9" width="11.7109375" customWidth="1"/>
    <col min="10" max="10" width="12.28515625" customWidth="1"/>
    <col min="11" max="11" width="12.7109375" customWidth="1"/>
    <col min="12" max="15" width="11.7109375" customWidth="1"/>
    <col min="16" max="16" width="2.7109375" customWidth="1"/>
    <col min="19" max="19" width="11.7109375" bestFit="1" customWidth="1"/>
  </cols>
  <sheetData>
    <row r="1" spans="1:22" x14ac:dyDescent="0.25">
      <c r="A1" s="238" t="s">
        <v>35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22" ht="46.5" customHeight="1" x14ac:dyDescent="0.25">
      <c r="A2" s="126" t="s">
        <v>0</v>
      </c>
      <c r="B2" s="119" t="s">
        <v>97</v>
      </c>
      <c r="C2" s="120" t="s">
        <v>98</v>
      </c>
      <c r="D2" s="121" t="s">
        <v>99</v>
      </c>
      <c r="E2" s="121" t="s">
        <v>100</v>
      </c>
      <c r="F2" s="164" t="s">
        <v>24</v>
      </c>
      <c r="G2" s="119" t="s">
        <v>25</v>
      </c>
      <c r="H2" s="122" t="s">
        <v>26</v>
      </c>
      <c r="I2" s="3" t="s">
        <v>4</v>
      </c>
      <c r="J2" s="127" t="s">
        <v>27</v>
      </c>
    </row>
    <row r="3" spans="1:22" x14ac:dyDescent="0.25">
      <c r="A3" s="128" t="s">
        <v>28</v>
      </c>
      <c r="B3" s="75">
        <f>'Dry Mass_NR'!$N$12</f>
        <v>1.9948571428571427E-2</v>
      </c>
      <c r="C3" s="113">
        <f>B3*1000</f>
        <v>19.948571428571427</v>
      </c>
      <c r="D3" s="5">
        <v>14</v>
      </c>
      <c r="E3" s="113">
        <f>C3*D3</f>
        <v>279.27999999999997</v>
      </c>
      <c r="F3" s="165">
        <v>0.17699999999999999</v>
      </c>
      <c r="G3" s="75">
        <f>((-$S$17)+SQRT(($S$17^2)-(4*$S$16*($S$18-F3))))/(2*$S$16)</f>
        <v>34.773072834935938</v>
      </c>
      <c r="H3" s="116">
        <f>G3/E3</f>
        <v>0.12450971367421922</v>
      </c>
      <c r="I3" s="123">
        <f>AVERAGE(H3:H7)</f>
        <v>0.11876751156761015</v>
      </c>
      <c r="J3" s="129">
        <f>_xlfn.STDEV.S(H3:H7)/I3</f>
        <v>0.28117229331681026</v>
      </c>
      <c r="L3" t="s">
        <v>150</v>
      </c>
    </row>
    <row r="4" spans="1:22" x14ac:dyDescent="0.25">
      <c r="A4" s="128" t="s">
        <v>30</v>
      </c>
      <c r="B4" s="75">
        <f>'Dry Mass_NR'!$N$12</f>
        <v>1.9948571428571427E-2</v>
      </c>
      <c r="C4" s="113">
        <f t="shared" ref="C4:C7" si="0">B4*1000</f>
        <v>19.948571428571427</v>
      </c>
      <c r="D4" s="5">
        <v>15</v>
      </c>
      <c r="E4" s="113">
        <f t="shared" ref="E4:E7" si="1">C4*D4</f>
        <v>299.2285714285714</v>
      </c>
      <c r="F4" s="165">
        <v>0.1</v>
      </c>
      <c r="G4" s="75">
        <f t="shared" ref="G4:G6" si="2">((-$S$17)+SQRT(($S$17^2)-(4*$S$16*($S$18-F4))))/(2*$S$16)</f>
        <v>17.998334338870247</v>
      </c>
      <c r="H4" s="116">
        <f t="shared" ref="H4:H7" si="3">G4/E4</f>
        <v>6.0149116954116177E-2</v>
      </c>
      <c r="I4" s="5"/>
      <c r="J4" s="130">
        <f>_xlfn.STDEV.S(H3:H7)</f>
        <v>3.3394133598995734E-2</v>
      </c>
      <c r="L4" t="s">
        <v>25</v>
      </c>
      <c r="M4" t="s">
        <v>147</v>
      </c>
      <c r="N4" t="s">
        <v>148</v>
      </c>
      <c r="O4" t="s">
        <v>24</v>
      </c>
    </row>
    <row r="5" spans="1:22" x14ac:dyDescent="0.25">
      <c r="A5" s="128" t="s">
        <v>31</v>
      </c>
      <c r="B5" s="75">
        <f>'Dry Mass_NR'!$N$12</f>
        <v>1.9948571428571427E-2</v>
      </c>
      <c r="C5" s="113">
        <f t="shared" si="0"/>
        <v>19.948571428571427</v>
      </c>
      <c r="D5" s="5">
        <v>15</v>
      </c>
      <c r="E5" s="113">
        <f t="shared" si="1"/>
        <v>299.2285714285714</v>
      </c>
      <c r="F5" s="165">
        <v>0.20699999999999999</v>
      </c>
      <c r="G5" s="75">
        <f t="shared" si="2"/>
        <v>41.403093138017248</v>
      </c>
      <c r="H5" s="116">
        <f t="shared" si="3"/>
        <v>0.13836610902612467</v>
      </c>
      <c r="I5" s="5"/>
      <c r="J5" s="13" t="s">
        <v>32</v>
      </c>
      <c r="L5">
        <v>400</v>
      </c>
      <c r="M5" s="30">
        <v>1.4610000000000001</v>
      </c>
      <c r="O5" s="30">
        <f t="shared" ref="O5:O19" si="4">AVERAGE(M5:N5)</f>
        <v>1.4610000000000001</v>
      </c>
    </row>
    <row r="6" spans="1:22" x14ac:dyDescent="0.25">
      <c r="A6" s="128" t="s">
        <v>33</v>
      </c>
      <c r="B6" s="75">
        <f>'Dry Mass_NR'!$N$12</f>
        <v>1.9948571428571427E-2</v>
      </c>
      <c r="C6" s="113">
        <f t="shared" si="0"/>
        <v>19.948571428571427</v>
      </c>
      <c r="D6" s="5">
        <v>15</v>
      </c>
      <c r="E6" s="113">
        <f t="shared" si="1"/>
        <v>299.2285714285714</v>
      </c>
      <c r="F6" s="165">
        <v>0.19600000000000001</v>
      </c>
      <c r="G6" s="75">
        <f t="shared" si="2"/>
        <v>38.965778678793932</v>
      </c>
      <c r="H6" s="116">
        <f t="shared" si="3"/>
        <v>0.13022078236969234</v>
      </c>
      <c r="I6" s="5"/>
      <c r="J6" s="15"/>
      <c r="L6">
        <v>200</v>
      </c>
      <c r="M6">
        <v>0.86499999999999999</v>
      </c>
      <c r="N6">
        <v>0.86699999999999999</v>
      </c>
      <c r="O6" s="30">
        <f t="shared" si="4"/>
        <v>0.86599999999999999</v>
      </c>
    </row>
    <row r="7" spans="1:22" x14ac:dyDescent="0.25">
      <c r="A7" s="131" t="s">
        <v>34</v>
      </c>
      <c r="B7" s="86">
        <f>'Dry Mass_NR'!$N$12</f>
        <v>1.9948571428571427E-2</v>
      </c>
      <c r="C7" s="114">
        <f t="shared" si="0"/>
        <v>19.948571428571427</v>
      </c>
      <c r="D7" s="85">
        <v>15</v>
      </c>
      <c r="E7" s="114">
        <f t="shared" si="1"/>
        <v>299.2285714285714</v>
      </c>
      <c r="F7" s="166">
        <v>0.21</v>
      </c>
      <c r="G7" s="75">
        <f>((-$S$17)+SQRT(($S$17^2)-(4*$S$16*($S$18-F7))))/(2*$S$16)</f>
        <v>42.069094185113052</v>
      </c>
      <c r="H7" s="117">
        <f t="shared" si="3"/>
        <v>0.14059183581389831</v>
      </c>
      <c r="I7" s="115"/>
      <c r="J7" s="132"/>
      <c r="L7">
        <v>100</v>
      </c>
      <c r="M7">
        <v>0.52800000000000002</v>
      </c>
      <c r="N7">
        <v>0.56100000000000005</v>
      </c>
      <c r="O7" s="30">
        <f t="shared" si="4"/>
        <v>0.54449999999999998</v>
      </c>
    </row>
    <row r="8" spans="1:22" x14ac:dyDescent="0.25">
      <c r="A8" s="245" t="s">
        <v>103</v>
      </c>
      <c r="B8" s="246"/>
      <c r="C8" s="246"/>
      <c r="D8" s="246"/>
      <c r="E8" s="246"/>
      <c r="F8" s="246"/>
      <c r="G8" s="246"/>
      <c r="H8" s="246"/>
      <c r="I8" s="246"/>
      <c r="J8" s="247"/>
      <c r="L8">
        <v>50</v>
      </c>
      <c r="M8">
        <v>0.25900000000000001</v>
      </c>
      <c r="N8">
        <v>0.26</v>
      </c>
      <c r="O8" s="30">
        <f t="shared" si="4"/>
        <v>0.25950000000000001</v>
      </c>
    </row>
    <row r="9" spans="1:22" ht="30" x14ac:dyDescent="0.25">
      <c r="A9" s="126" t="s">
        <v>0</v>
      </c>
      <c r="B9" s="119" t="s">
        <v>97</v>
      </c>
      <c r="C9" s="120" t="s">
        <v>98</v>
      </c>
      <c r="D9" s="121" t="s">
        <v>99</v>
      </c>
      <c r="E9" s="121" t="s">
        <v>100</v>
      </c>
      <c r="F9" s="164" t="s">
        <v>104</v>
      </c>
      <c r="G9" s="119" t="s">
        <v>25</v>
      </c>
      <c r="H9" s="122" t="s">
        <v>26</v>
      </c>
      <c r="I9" s="3" t="s">
        <v>4</v>
      </c>
      <c r="J9" s="127" t="s">
        <v>27</v>
      </c>
      <c r="L9">
        <v>10</v>
      </c>
      <c r="M9">
        <v>6.6000000000000003E-2</v>
      </c>
      <c r="N9">
        <v>7.3999999999999996E-2</v>
      </c>
      <c r="O9" s="30">
        <f t="shared" si="4"/>
        <v>7.0000000000000007E-2</v>
      </c>
    </row>
    <row r="10" spans="1:22" ht="18.75" customHeight="1" x14ac:dyDescent="0.25">
      <c r="A10" s="128" t="s">
        <v>28</v>
      </c>
      <c r="B10" s="75">
        <f>'Dry Mass_NR'!$N$13</f>
        <v>0.66684285714285696</v>
      </c>
      <c r="C10" s="113">
        <f>B10*1000</f>
        <v>666.84285714285693</v>
      </c>
      <c r="D10" s="5">
        <v>10</v>
      </c>
      <c r="E10" s="113">
        <f>C10*D10</f>
        <v>6668.4285714285688</v>
      </c>
      <c r="F10" s="165">
        <v>0.11799999999999999</v>
      </c>
      <c r="G10" s="75">
        <f>10*((-$S$17)+SQRT(($S$17^2)-(4*$S$16*($S$18-F10))))/(2*$S$16)</f>
        <v>218.89203016909119</v>
      </c>
      <c r="H10" s="116">
        <f>G10/E10</f>
        <v>3.2825129312616788E-2</v>
      </c>
      <c r="I10" s="123">
        <f>AVERAGE(H10:H14)</f>
        <v>3.0428567501472253E-2</v>
      </c>
      <c r="J10" s="129">
        <f>_xlfn.STDEV.S(H10:H14)/I10</f>
        <v>0.13569306681942628</v>
      </c>
      <c r="L10">
        <v>400</v>
      </c>
      <c r="O10" s="30"/>
    </row>
    <row r="11" spans="1:22" x14ac:dyDescent="0.25">
      <c r="A11" s="128" t="s">
        <v>30</v>
      </c>
      <c r="B11" s="75">
        <f>'Dry Mass_NR'!$N$13</f>
        <v>0.66684285714285696</v>
      </c>
      <c r="C11" s="113">
        <f t="shared" ref="C11:C14" si="5">B11*1000</f>
        <v>666.84285714285693</v>
      </c>
      <c r="D11" s="5">
        <v>10</v>
      </c>
      <c r="E11" s="113">
        <f t="shared" ref="E11:E14" si="6">C11*D11</f>
        <v>6668.4285714285688</v>
      </c>
      <c r="F11" s="170">
        <v>0.11799999999999999</v>
      </c>
      <c r="G11" s="75">
        <f t="shared" ref="G11:G14" si="7">10*((-$S$17)+SQRT(($S$17^2)-(4*$S$16*($S$18-F11))))/(2*$S$16)</f>
        <v>218.89203016909119</v>
      </c>
      <c r="H11" s="116">
        <f t="shared" ref="H11:H14" si="8">G11/E11</f>
        <v>3.2825129312616788E-2</v>
      </c>
      <c r="I11" s="5"/>
      <c r="J11" s="130">
        <f>_xlfn.STDEV.S(H10:H14)</f>
        <v>4.1289456431966975E-3</v>
      </c>
      <c r="L11">
        <v>200</v>
      </c>
      <c r="O11" s="30"/>
    </row>
    <row r="12" spans="1:22" x14ac:dyDescent="0.25">
      <c r="A12" s="128" t="s">
        <v>31</v>
      </c>
      <c r="B12" s="75">
        <f>'Dry Mass_NR'!$N$13</f>
        <v>0.66684285714285696</v>
      </c>
      <c r="C12" s="113">
        <f t="shared" si="5"/>
        <v>666.84285714285693</v>
      </c>
      <c r="D12" s="5">
        <v>10</v>
      </c>
      <c r="E12" s="113">
        <f t="shared" si="6"/>
        <v>6668.4285714285688</v>
      </c>
      <c r="F12" s="170">
        <v>8.7999999999999995E-2</v>
      </c>
      <c r="G12" s="75">
        <f t="shared" si="7"/>
        <v>154.1452087730693</v>
      </c>
      <c r="H12" s="116">
        <f t="shared" si="8"/>
        <v>2.3115672174028698E-2</v>
      </c>
      <c r="I12" s="5"/>
      <c r="J12" s="13" t="s">
        <v>32</v>
      </c>
      <c r="L12">
        <v>100</v>
      </c>
      <c r="M12">
        <v>0.437</v>
      </c>
      <c r="N12">
        <v>0.45600000000000002</v>
      </c>
      <c r="O12" s="30">
        <f t="shared" si="4"/>
        <v>0.44650000000000001</v>
      </c>
    </row>
    <row r="13" spans="1:22" x14ac:dyDescent="0.25">
      <c r="A13" s="128" t="s">
        <v>33</v>
      </c>
      <c r="B13" s="75">
        <f>'Dry Mass_NR'!$N$13</f>
        <v>0.66684285714285696</v>
      </c>
      <c r="C13" s="113">
        <f t="shared" si="5"/>
        <v>666.84285714285693</v>
      </c>
      <c r="D13" s="5">
        <v>10</v>
      </c>
      <c r="E13" s="113">
        <f t="shared" si="6"/>
        <v>6668.4285714285688</v>
      </c>
      <c r="F13" s="170">
        <v>0.115</v>
      </c>
      <c r="G13" s="75">
        <f t="shared" si="7"/>
        <v>212.39453629661696</v>
      </c>
      <c r="H13" s="116">
        <f t="shared" si="8"/>
        <v>3.1850762742910502E-2</v>
      </c>
      <c r="I13" s="10"/>
      <c r="J13" s="195"/>
      <c r="L13">
        <v>50</v>
      </c>
      <c r="M13">
        <v>0.253</v>
      </c>
      <c r="N13">
        <v>0.24099999999999999</v>
      </c>
      <c r="O13" s="30">
        <f t="shared" si="4"/>
        <v>0.247</v>
      </c>
    </row>
    <row r="14" spans="1:22" x14ac:dyDescent="0.25">
      <c r="A14" s="131" t="s">
        <v>34</v>
      </c>
      <c r="B14" s="86">
        <f>'Dry Mass_NR'!$N$13</f>
        <v>0.66684285714285696</v>
      </c>
      <c r="C14" s="114">
        <f t="shared" si="5"/>
        <v>666.84285714285693</v>
      </c>
      <c r="D14" s="85">
        <v>10</v>
      </c>
      <c r="E14" s="114">
        <f t="shared" si="6"/>
        <v>6668.4285714285688</v>
      </c>
      <c r="F14" s="171">
        <v>0.114</v>
      </c>
      <c r="G14" s="86">
        <f t="shared" si="7"/>
        <v>210.22983916443329</v>
      </c>
      <c r="H14" s="117">
        <f t="shared" si="8"/>
        <v>3.1526143965188491E-2</v>
      </c>
      <c r="I14" s="118"/>
      <c r="J14" s="196"/>
      <c r="L14">
        <v>10</v>
      </c>
      <c r="M14">
        <v>7.0999999999999994E-2</v>
      </c>
      <c r="N14">
        <v>8.4000000000000005E-2</v>
      </c>
      <c r="O14" s="30">
        <f t="shared" si="4"/>
        <v>7.7499999999999999E-2</v>
      </c>
    </row>
    <row r="15" spans="1:22" x14ac:dyDescent="0.25">
      <c r="A15" s="248" t="s">
        <v>102</v>
      </c>
      <c r="B15" s="249"/>
      <c r="C15" s="249"/>
      <c r="D15" s="249"/>
      <c r="E15" s="249"/>
      <c r="F15" s="249"/>
      <c r="G15" s="249"/>
      <c r="H15" s="249"/>
      <c r="I15" s="249"/>
      <c r="J15" s="250"/>
      <c r="L15">
        <v>400</v>
      </c>
      <c r="O15" s="30"/>
      <c r="S15" t="s">
        <v>146</v>
      </c>
      <c r="U15" t="s">
        <v>149</v>
      </c>
    </row>
    <row r="16" spans="1:22" ht="30" x14ac:dyDescent="0.25">
      <c r="A16" s="126" t="s">
        <v>0</v>
      </c>
      <c r="B16" s="119" t="s">
        <v>97</v>
      </c>
      <c r="C16" s="120" t="s">
        <v>98</v>
      </c>
      <c r="D16" s="121" t="s">
        <v>99</v>
      </c>
      <c r="E16" s="121" t="s">
        <v>100</v>
      </c>
      <c r="F16" s="164" t="s">
        <v>24</v>
      </c>
      <c r="G16" s="119" t="s">
        <v>25</v>
      </c>
      <c r="H16" s="122" t="s">
        <v>26</v>
      </c>
      <c r="I16" s="3" t="s">
        <v>4</v>
      </c>
      <c r="J16" s="127" t="s">
        <v>27</v>
      </c>
      <c r="L16">
        <v>200</v>
      </c>
      <c r="O16" s="30"/>
      <c r="R16" t="s">
        <v>124</v>
      </c>
      <c r="S16">
        <v>-2.7927E-6</v>
      </c>
      <c r="U16" t="s">
        <v>124</v>
      </c>
      <c r="V16">
        <f xml:space="preserve"> 0.0000018251</f>
        <v>1.8250999999999999E-6</v>
      </c>
    </row>
    <row r="17" spans="1:22" x14ac:dyDescent="0.25">
      <c r="A17" s="128" t="s">
        <v>28</v>
      </c>
      <c r="B17" s="75">
        <f>'Dry Mass_NR'!$N$14</f>
        <v>1.4584444444444481E-2</v>
      </c>
      <c r="C17" s="113">
        <f>B17*1000</f>
        <v>14.584444444444481</v>
      </c>
      <c r="D17" s="5">
        <v>15</v>
      </c>
      <c r="E17" s="113">
        <f>C17*D17</f>
        <v>218.76666666666722</v>
      </c>
      <c r="F17" s="165">
        <v>0.124</v>
      </c>
      <c r="G17" s="75">
        <f>((-$S$17)+SQRT(($S$17^2)-(4*$S$16*($S$18-F17))))/(2*$S$16)</f>
        <v>23.190236926332837</v>
      </c>
      <c r="H17" s="116">
        <f>G17/E17</f>
        <v>0.10600443513484432</v>
      </c>
      <c r="I17" s="124">
        <f>AVERAGE(H17:H19)</f>
        <v>0.10336065876834026</v>
      </c>
      <c r="J17" s="133">
        <f>_xlfn.STDEV.S(H17:H19)/I17</f>
        <v>2.4136990893314027E-2</v>
      </c>
      <c r="L17">
        <v>100</v>
      </c>
      <c r="M17">
        <v>0.38400000000000001</v>
      </c>
      <c r="N17">
        <v>0.39100000000000001</v>
      </c>
      <c r="O17" s="30">
        <f t="shared" si="4"/>
        <v>0.38750000000000001</v>
      </c>
      <c r="R17" t="s">
        <v>125</v>
      </c>
      <c r="S17">
        <v>4.7376101999999998E-3</v>
      </c>
      <c r="U17" t="s">
        <v>125</v>
      </c>
      <c r="V17">
        <v>2.8058136000000001E-3</v>
      </c>
    </row>
    <row r="18" spans="1:22" ht="17.25" customHeight="1" x14ac:dyDescent="0.25">
      <c r="A18" s="128" t="s">
        <v>30</v>
      </c>
      <c r="B18" s="75">
        <f>'Dry Mass_NR'!$N$14</f>
        <v>1.4584444444444481E-2</v>
      </c>
      <c r="C18" s="113">
        <f t="shared" ref="C18:C19" si="9">B18*1000</f>
        <v>14.584444444444481</v>
      </c>
      <c r="D18" s="5">
        <v>15</v>
      </c>
      <c r="E18" s="113">
        <f t="shared" ref="E18:E19" si="10">C18*D18</f>
        <v>218.76666666666722</v>
      </c>
      <c r="F18" s="165">
        <v>0.11899999999999999</v>
      </c>
      <c r="G18" s="75">
        <f t="shared" ref="G18:G19" si="11">((-$S$17)+SQRT(($S$17^2)-(4*$S$16*($S$18-F18))))/(2*$S$16)</f>
        <v>22.10589971052897</v>
      </c>
      <c r="H18" s="116">
        <f t="shared" ref="H18:H19" si="12">G18/E18</f>
        <v>0.10104784265059689</v>
      </c>
      <c r="I18" s="5"/>
      <c r="J18" s="134">
        <f>_xlfn.STDEV.S(H17:H19)</f>
        <v>2.4948152794183674E-3</v>
      </c>
      <c r="L18">
        <v>50</v>
      </c>
      <c r="M18">
        <v>0.20300000000000001</v>
      </c>
      <c r="N18">
        <v>0.20100000000000001</v>
      </c>
      <c r="O18" s="30">
        <f t="shared" si="4"/>
        <v>0.20200000000000001</v>
      </c>
      <c r="R18" t="s">
        <v>126</v>
      </c>
      <c r="S18">
        <v>1.5635574999999999E-2</v>
      </c>
      <c r="U18" t="s">
        <v>126</v>
      </c>
      <c r="V18">
        <v>6.4003879099999994E-2</v>
      </c>
    </row>
    <row r="19" spans="1:22" x14ac:dyDescent="0.25">
      <c r="A19" s="131" t="s">
        <v>31</v>
      </c>
      <c r="B19" s="86">
        <f>'Dry Mass_NR'!$N$14</f>
        <v>1.4584444444444481E-2</v>
      </c>
      <c r="C19" s="114">
        <f t="shared" si="9"/>
        <v>14.584444444444481</v>
      </c>
      <c r="D19" s="85">
        <v>15</v>
      </c>
      <c r="E19" s="114">
        <f t="shared" si="10"/>
        <v>218.76666666666722</v>
      </c>
      <c r="F19" s="166">
        <v>0.121</v>
      </c>
      <c r="G19" s="75">
        <f t="shared" si="11"/>
        <v>22.539463712800071</v>
      </c>
      <c r="H19" s="117">
        <f t="shared" si="12"/>
        <v>0.10302969851957952</v>
      </c>
      <c r="I19" s="85"/>
      <c r="J19" s="135" t="s">
        <v>32</v>
      </c>
      <c r="L19">
        <v>10</v>
      </c>
      <c r="M19">
        <v>6.5000000000000002E-2</v>
      </c>
      <c r="N19">
        <v>6.0999999999999999E-2</v>
      </c>
      <c r="O19" s="30">
        <f t="shared" si="4"/>
        <v>6.3E-2</v>
      </c>
    </row>
    <row r="20" spans="1:22" x14ac:dyDescent="0.25">
      <c r="A20" s="245" t="s">
        <v>37</v>
      </c>
      <c r="B20" s="246"/>
      <c r="C20" s="246"/>
      <c r="D20" s="246"/>
      <c r="E20" s="246"/>
      <c r="F20" s="246"/>
      <c r="G20" s="246"/>
      <c r="H20" s="246"/>
      <c r="I20" s="246"/>
      <c r="J20" s="247"/>
    </row>
    <row r="21" spans="1:22" ht="30" x14ac:dyDescent="0.25">
      <c r="A21" s="126" t="s">
        <v>0</v>
      </c>
      <c r="B21" s="119" t="s">
        <v>97</v>
      </c>
      <c r="C21" s="120" t="s">
        <v>98</v>
      </c>
      <c r="D21" s="121" t="s">
        <v>99</v>
      </c>
      <c r="E21" s="121" t="s">
        <v>100</v>
      </c>
      <c r="F21" s="164" t="s">
        <v>24</v>
      </c>
      <c r="G21" s="119" t="s">
        <v>25</v>
      </c>
      <c r="H21" s="122" t="s">
        <v>26</v>
      </c>
      <c r="I21" s="3" t="s">
        <v>4</v>
      </c>
      <c r="J21" s="127" t="s">
        <v>27</v>
      </c>
    </row>
    <row r="22" spans="1:22" x14ac:dyDescent="0.25">
      <c r="A22" s="128" t="s">
        <v>28</v>
      </c>
      <c r="B22" s="75">
        <f>'Dry Mass_NR'!$N$15</f>
        <v>0.6171000000000002</v>
      </c>
      <c r="C22" s="113">
        <f>B22*1000</f>
        <v>617.10000000000025</v>
      </c>
      <c r="D22" s="10">
        <v>5</v>
      </c>
      <c r="E22" s="113">
        <f>C22*D22</f>
        <v>3085.5000000000014</v>
      </c>
      <c r="F22" s="165">
        <v>0.52600000000000002</v>
      </c>
      <c r="G22" s="75">
        <f>((-$V$17)+SQRT(($V$17^2)-(4*$V$16*($V$18-F22))))/(2*$V$16)</f>
        <v>150.0176928867873</v>
      </c>
      <c r="H22" s="116">
        <f>G22/E22</f>
        <v>4.8620221321272805E-2</v>
      </c>
      <c r="I22" s="124">
        <f>AVERAGE(H22:H24)</f>
        <v>5.3030269193639047E-2</v>
      </c>
      <c r="J22" s="136">
        <f>_xlfn.STDEV.S(H22:H24)/I22</f>
        <v>0.10583760582348581</v>
      </c>
    </row>
    <row r="23" spans="1:22" x14ac:dyDescent="0.25">
      <c r="A23" s="128" t="s">
        <v>30</v>
      </c>
      <c r="B23" s="75">
        <f>'Dry Mass_NR'!$N$15</f>
        <v>0.6171000000000002</v>
      </c>
      <c r="C23" s="113">
        <f t="shared" ref="C23:C24" si="13">B23*1000</f>
        <v>617.10000000000025</v>
      </c>
      <c r="D23" s="10">
        <v>5</v>
      </c>
      <c r="E23" s="113">
        <f t="shared" ref="E23:E24" si="14">C23*D23</f>
        <v>3085.5000000000014</v>
      </c>
      <c r="F23" s="165">
        <v>0.63900000000000001</v>
      </c>
      <c r="G23" s="75">
        <f t="shared" ref="G23:G24" si="15">((-$V$17)+SQRT(($V$17^2)-(4*$V$16*($V$18-F23))))/(2*$V$16)</f>
        <v>183.11843876281972</v>
      </c>
      <c r="H23" s="116">
        <f t="shared" ref="H23:H24" si="16">G23/E23</f>
        <v>5.9348059880998102E-2</v>
      </c>
      <c r="I23" s="5"/>
      <c r="J23" s="134">
        <f>_xlfn.STDEV.S(H22:H24)</f>
        <v>5.6125967276297118E-3</v>
      </c>
    </row>
    <row r="24" spans="1:22" x14ac:dyDescent="0.25">
      <c r="A24" s="131" t="s">
        <v>31</v>
      </c>
      <c r="B24" s="75">
        <f>'Dry Mass_NR'!$N$15</f>
        <v>0.6171000000000002</v>
      </c>
      <c r="C24" s="114">
        <f t="shared" si="13"/>
        <v>617.10000000000025</v>
      </c>
      <c r="D24" s="85">
        <v>5</v>
      </c>
      <c r="E24" s="114">
        <f t="shared" si="14"/>
        <v>3085.5000000000014</v>
      </c>
      <c r="F24" s="166">
        <v>0.55200000000000005</v>
      </c>
      <c r="G24" s="75">
        <f t="shared" si="15"/>
        <v>157.73855514131304</v>
      </c>
      <c r="H24" s="117">
        <f t="shared" si="16"/>
        <v>5.1122526378646241E-2</v>
      </c>
      <c r="I24" s="85"/>
      <c r="J24" s="135" t="s">
        <v>32</v>
      </c>
    </row>
    <row r="25" spans="1:22" x14ac:dyDescent="0.25">
      <c r="A25" s="245" t="s">
        <v>101</v>
      </c>
      <c r="B25" s="246"/>
      <c r="C25" s="246"/>
      <c r="D25" s="246"/>
      <c r="E25" s="246"/>
      <c r="F25" s="246"/>
      <c r="G25" s="246"/>
      <c r="H25" s="246"/>
      <c r="I25" s="246"/>
      <c r="J25" s="247"/>
    </row>
    <row r="26" spans="1:22" ht="30" x14ac:dyDescent="0.25">
      <c r="A26" s="126" t="s">
        <v>0</v>
      </c>
      <c r="B26" s="119" t="s">
        <v>97</v>
      </c>
      <c r="C26" s="120" t="s">
        <v>98</v>
      </c>
      <c r="D26" s="121" t="s">
        <v>99</v>
      </c>
      <c r="E26" s="121" t="s">
        <v>100</v>
      </c>
      <c r="F26" s="164" t="s">
        <v>24</v>
      </c>
      <c r="G26" s="119" t="s">
        <v>25</v>
      </c>
      <c r="H26" s="122" t="s">
        <v>26</v>
      </c>
      <c r="I26" s="3" t="s">
        <v>4</v>
      </c>
      <c r="J26" s="127" t="s">
        <v>27</v>
      </c>
    </row>
    <row r="27" spans="1:22" x14ac:dyDescent="0.25">
      <c r="A27" s="128" t="s">
        <v>28</v>
      </c>
      <c r="B27" s="75">
        <f>'Dry Mass_NR'!$N$16</f>
        <v>2.2208888888888764E-2</v>
      </c>
      <c r="C27" s="113">
        <f>B27*1000</f>
        <v>22.208888888888765</v>
      </c>
      <c r="D27" s="5">
        <v>15</v>
      </c>
      <c r="E27" s="113">
        <f>C27*D27</f>
        <v>333.13333333333151</v>
      </c>
      <c r="F27" s="165">
        <v>0.17699999999999999</v>
      </c>
      <c r="G27" s="75">
        <f>((-$S$17)+SQRT(($S$17^2)-(4*$S$16*($S$18-F27))))/(2*$S$16)</f>
        <v>34.773072834935938</v>
      </c>
      <c r="H27" s="116">
        <f>G27/E27</f>
        <v>0.10438184761337642</v>
      </c>
      <c r="I27" s="124">
        <f>AVERAGE(H27:H29)</f>
        <v>0.14226979107673918</v>
      </c>
      <c r="J27" s="137">
        <f>_xlfn.STDEV.S(H27:H29)/I27</f>
        <v>0.2364875542079643</v>
      </c>
    </row>
    <row r="28" spans="1:22" x14ac:dyDescent="0.25">
      <c r="A28" s="128" t="s">
        <v>30</v>
      </c>
      <c r="B28" s="75">
        <f>'Dry Mass_NR'!$N$16</f>
        <v>2.2208888888888764E-2</v>
      </c>
      <c r="C28" s="113">
        <f t="shared" ref="C28:C29" si="17">B28*1000</f>
        <v>22.208888888888765</v>
      </c>
      <c r="D28" s="5">
        <v>15</v>
      </c>
      <c r="E28" s="113">
        <f t="shared" ref="E28:E29" si="18">C28*D28</f>
        <v>333.13333333333151</v>
      </c>
      <c r="F28" s="165">
        <v>0.251</v>
      </c>
      <c r="G28" s="75">
        <f t="shared" ref="G28:G29" si="19">((-$S$17)+SQRT(($S$17^2)-(4*$S$16*($S$18-F28))))/(2*$S$16)</f>
        <v>51.226884547672711</v>
      </c>
      <c r="H28" s="116">
        <f t="shared" ref="H28:H29" si="20">G28/E28</f>
        <v>0.15377291739345506</v>
      </c>
      <c r="I28" s="5"/>
      <c r="J28" s="134">
        <f>_xlfn.STDEV.S(H27:H29)</f>
        <v>3.3645034929416111E-2</v>
      </c>
    </row>
    <row r="29" spans="1:22" x14ac:dyDescent="0.25">
      <c r="A29" s="131" t="s">
        <v>31</v>
      </c>
      <c r="B29" s="86">
        <f>'Dry Mass_NR'!$N$16</f>
        <v>2.2208888888888764E-2</v>
      </c>
      <c r="C29" s="114">
        <f t="shared" si="17"/>
        <v>22.208888888888765</v>
      </c>
      <c r="D29" s="85">
        <v>15</v>
      </c>
      <c r="E29" s="114">
        <f t="shared" si="18"/>
        <v>333.13333333333151</v>
      </c>
      <c r="F29" s="166">
        <v>0.27300000000000002</v>
      </c>
      <c r="G29" s="75">
        <f t="shared" si="19"/>
        <v>56.184471819483676</v>
      </c>
      <c r="H29" s="117">
        <f t="shared" si="20"/>
        <v>0.16865460822338599</v>
      </c>
      <c r="I29" s="85"/>
      <c r="J29" s="138" t="s">
        <v>32</v>
      </c>
    </row>
    <row r="30" spans="1:22" x14ac:dyDescent="0.25">
      <c r="A30" s="245" t="s">
        <v>38</v>
      </c>
      <c r="B30" s="246"/>
      <c r="C30" s="246"/>
      <c r="D30" s="246"/>
      <c r="E30" s="246"/>
      <c r="F30" s="246"/>
      <c r="G30" s="246"/>
      <c r="H30" s="246"/>
      <c r="I30" s="246"/>
      <c r="J30" s="247"/>
    </row>
    <row r="31" spans="1:22" ht="30" x14ac:dyDescent="0.25">
      <c r="A31" s="126" t="s">
        <v>0</v>
      </c>
      <c r="B31" s="119" t="s">
        <v>97</v>
      </c>
      <c r="C31" s="120" t="s">
        <v>98</v>
      </c>
      <c r="D31" s="121" t="s">
        <v>99</v>
      </c>
      <c r="E31" s="121" t="s">
        <v>100</v>
      </c>
      <c r="F31" s="164" t="s">
        <v>24</v>
      </c>
      <c r="G31" s="119" t="s">
        <v>25</v>
      </c>
      <c r="H31" s="122" t="s">
        <v>26</v>
      </c>
      <c r="I31" s="3" t="s">
        <v>4</v>
      </c>
      <c r="J31" s="127" t="s">
        <v>27</v>
      </c>
    </row>
    <row r="32" spans="1:22" x14ac:dyDescent="0.25">
      <c r="A32" s="128" t="s">
        <v>28</v>
      </c>
      <c r="B32" s="75">
        <f>'Dry Mass_NR'!$N$17</f>
        <v>9.1976190476189781E-2</v>
      </c>
      <c r="C32" s="113">
        <f>B32*1000</f>
        <v>91.976190476189785</v>
      </c>
      <c r="D32" s="10">
        <v>10</v>
      </c>
      <c r="E32" s="113">
        <f>C32*D32</f>
        <v>919.76190476189788</v>
      </c>
      <c r="F32" s="165">
        <v>0.24</v>
      </c>
      <c r="G32" s="75">
        <f>((-$V$17)+SQRT(($V$17^2)-(4*$V$16*($V$18-F32))))/(2*$V$16)</f>
        <v>60.35595891793178</v>
      </c>
      <c r="H32" s="116">
        <f>G32/E32</f>
        <v>6.5621285906113214E-2</v>
      </c>
      <c r="I32" s="124">
        <f>AVERAGE(H32:H34)</f>
        <v>9.5186778416534459E-2</v>
      </c>
      <c r="J32" s="136">
        <f>_xlfn.STDEV.S(H32:H34)/I32</f>
        <v>0.27272479762394902</v>
      </c>
    </row>
    <row r="33" spans="1:10" x14ac:dyDescent="0.25">
      <c r="A33" s="128" t="s">
        <v>30</v>
      </c>
      <c r="B33" s="75">
        <f>'Dry Mass_NR'!$N$17</f>
        <v>9.1976190476189781E-2</v>
      </c>
      <c r="C33" s="113">
        <f t="shared" ref="C33:C34" si="21">B33*1000</f>
        <v>91.976190476189785</v>
      </c>
      <c r="D33" s="10">
        <v>10</v>
      </c>
      <c r="E33" s="113">
        <f t="shared" ref="E33:E34" si="22">C33*D33</f>
        <v>919.76190476189788</v>
      </c>
      <c r="F33" s="165">
        <v>0.379</v>
      </c>
      <c r="G33" s="75">
        <f t="shared" ref="G33:G34" si="23">((-$V$17)+SQRT(($V$17^2)-(4*$V$16*($V$18-F33))))/(2*$V$16)</f>
        <v>105.08276760585005</v>
      </c>
      <c r="H33" s="116">
        <f t="shared" ref="H33:H34" si="24">G33/E33</f>
        <v>0.11424996736851502</v>
      </c>
      <c r="I33" s="5"/>
      <c r="J33" s="134">
        <f>_xlfn.STDEV.S(H32:H34)</f>
        <v>2.5959794880125037E-2</v>
      </c>
    </row>
    <row r="34" spans="1:10" ht="15.75" thickBot="1" x14ac:dyDescent="0.3">
      <c r="A34" s="139" t="s">
        <v>31</v>
      </c>
      <c r="B34" s="88">
        <f>'Dry Mass_NR'!$N$17</f>
        <v>9.1976190476189781E-2</v>
      </c>
      <c r="C34" s="140">
        <f t="shared" si="21"/>
        <v>91.976190476189785</v>
      </c>
      <c r="D34" s="68">
        <v>10</v>
      </c>
      <c r="E34" s="140">
        <f t="shared" si="22"/>
        <v>919.76190476189788</v>
      </c>
      <c r="F34" s="167">
        <v>0.35399999999999998</v>
      </c>
      <c r="G34" s="88">
        <f t="shared" si="23"/>
        <v>97.208791349839544</v>
      </c>
      <c r="H34" s="141">
        <f t="shared" si="24"/>
        <v>0.10568908197497519</v>
      </c>
      <c r="I34" s="68"/>
      <c r="J34" s="142" t="s">
        <v>32</v>
      </c>
    </row>
    <row r="35" spans="1:10" x14ac:dyDescent="0.25">
      <c r="A35" s="31"/>
      <c r="B35" s="96"/>
      <c r="C35" s="36"/>
      <c r="H35" s="89"/>
      <c r="I35" s="1"/>
    </row>
    <row r="36" spans="1:10" ht="12.75" customHeight="1" x14ac:dyDescent="0.25">
      <c r="A36" s="31"/>
      <c r="B36" s="97"/>
      <c r="C36" s="95"/>
      <c r="D36" s="31"/>
    </row>
    <row r="37" spans="1:10" x14ac:dyDescent="0.25">
      <c r="A37" s="192"/>
      <c r="B37" s="96"/>
      <c r="C37" s="36"/>
      <c r="D37" s="31"/>
      <c r="E37" s="36"/>
      <c r="F37" s="169"/>
      <c r="G37" s="96"/>
      <c r="H37" s="34"/>
      <c r="I37" s="33"/>
      <c r="J37" s="33"/>
    </row>
    <row r="38" spans="1:10" x14ac:dyDescent="0.25">
      <c r="C38" s="36"/>
      <c r="D38" s="31"/>
      <c r="I38" s="31"/>
      <c r="J38" s="35"/>
    </row>
    <row r="39" spans="1:10" x14ac:dyDescent="0.25">
      <c r="C39" s="36"/>
      <c r="D39" s="36"/>
      <c r="F39"/>
      <c r="G39"/>
      <c r="I39" s="31"/>
      <c r="J39" s="31"/>
    </row>
    <row r="40" spans="1:10" x14ac:dyDescent="0.25">
      <c r="B40" s="193"/>
      <c r="C40" s="218"/>
      <c r="D40" s="218"/>
      <c r="E40" s="190"/>
      <c r="F40" s="190"/>
      <c r="G40" s="190"/>
      <c r="I40" s="31"/>
      <c r="J40" s="31"/>
    </row>
    <row r="41" spans="1:10" x14ac:dyDescent="0.25">
      <c r="B41" s="193"/>
      <c r="C41" s="218"/>
      <c r="D41" s="218"/>
      <c r="E41" s="190"/>
      <c r="F41" s="191"/>
      <c r="G41" s="191"/>
      <c r="I41" s="31"/>
      <c r="J41" s="31"/>
    </row>
    <row r="42" spans="1:10" x14ac:dyDescent="0.25">
      <c r="B42" s="190"/>
      <c r="C42" s="32"/>
      <c r="D42" s="32"/>
    </row>
    <row r="43" spans="1:10" x14ac:dyDescent="0.25">
      <c r="B43" s="193"/>
      <c r="C43" s="218"/>
      <c r="D43" s="218"/>
    </row>
    <row r="44" spans="1:10" x14ac:dyDescent="0.25">
      <c r="B44" s="190"/>
      <c r="C44" s="32"/>
      <c r="D44" s="32"/>
    </row>
    <row r="45" spans="1:10" x14ac:dyDescent="0.25">
      <c r="B45" s="190"/>
      <c r="C45" s="32"/>
      <c r="D45" s="32"/>
    </row>
    <row r="46" spans="1:10" x14ac:dyDescent="0.25">
      <c r="C46" s="36"/>
      <c r="D46" s="31"/>
    </row>
    <row r="47" spans="1:10" x14ac:dyDescent="0.25">
      <c r="C47" s="36"/>
      <c r="D47" s="31"/>
    </row>
    <row r="48" spans="1:10" x14ac:dyDescent="0.25">
      <c r="C48" s="36"/>
      <c r="D48" s="31"/>
    </row>
    <row r="49" spans="2:4" x14ac:dyDescent="0.25">
      <c r="C49" s="36"/>
      <c r="D49" s="31"/>
    </row>
    <row r="50" spans="2:4" x14ac:dyDescent="0.25">
      <c r="C50" s="36"/>
      <c r="D50" s="31"/>
    </row>
    <row r="51" spans="2:4" x14ac:dyDescent="0.25">
      <c r="C51" s="36"/>
      <c r="D51" s="31"/>
    </row>
    <row r="52" spans="2:4" x14ac:dyDescent="0.25">
      <c r="B52" s="190"/>
      <c r="C52" s="32"/>
      <c r="D52" s="31"/>
    </row>
    <row r="53" spans="2:4" x14ac:dyDescent="0.25">
      <c r="B53" s="190"/>
      <c r="C53" s="190"/>
    </row>
    <row r="54" spans="2:4" x14ac:dyDescent="0.25">
      <c r="B54" s="190"/>
      <c r="C54" s="190"/>
    </row>
    <row r="55" spans="2:4" x14ac:dyDescent="0.25">
      <c r="B55" s="190"/>
      <c r="C55" s="190"/>
    </row>
    <row r="56" spans="2:4" x14ac:dyDescent="0.25">
      <c r="B56" s="190"/>
      <c r="C56" s="190"/>
    </row>
    <row r="60" spans="2:4" x14ac:dyDescent="0.25">
      <c r="B60" s="190"/>
      <c r="C60" s="190"/>
    </row>
    <row r="61" spans="2:4" x14ac:dyDescent="0.25">
      <c r="B61" s="190"/>
      <c r="C61" s="190"/>
    </row>
    <row r="62" spans="2:4" x14ac:dyDescent="0.25">
      <c r="B62" s="190"/>
      <c r="C62" s="190"/>
    </row>
    <row r="63" spans="2:4" x14ac:dyDescent="0.25">
      <c r="B63" s="190"/>
      <c r="C63" s="190"/>
    </row>
  </sheetData>
  <mergeCells count="6">
    <mergeCell ref="A20:J20"/>
    <mergeCell ref="A25:J25"/>
    <mergeCell ref="A30:J30"/>
    <mergeCell ref="A1:J1"/>
    <mergeCell ref="A8:J8"/>
    <mergeCell ref="A15:J15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U41"/>
  <sheetViews>
    <sheetView topLeftCell="A34" workbookViewId="0">
      <selection activeCell="J4" sqref="J4"/>
    </sheetView>
  </sheetViews>
  <sheetFormatPr defaultRowHeight="15" x14ac:dyDescent="0.25"/>
  <cols>
    <col min="1" max="1" width="11.7109375" customWidth="1"/>
    <col min="2" max="2" width="11.7109375" style="64" customWidth="1"/>
    <col min="3" max="3" width="11.7109375" style="29" customWidth="1"/>
    <col min="4" max="5" width="11.7109375" customWidth="1"/>
    <col min="6" max="6" width="11.7109375" style="168" customWidth="1"/>
    <col min="7" max="7" width="13" style="64" customWidth="1"/>
    <col min="8" max="9" width="11.7109375" customWidth="1"/>
    <col min="10" max="10" width="12.28515625" customWidth="1"/>
    <col min="11" max="11" width="12.7109375" customWidth="1"/>
    <col min="12" max="15" width="11.7109375" customWidth="1"/>
    <col min="16" max="16" width="2.7109375" customWidth="1"/>
  </cols>
  <sheetData>
    <row r="1" spans="1:21" x14ac:dyDescent="0.25">
      <c r="A1" s="238" t="s">
        <v>35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21" ht="46.5" customHeight="1" x14ac:dyDescent="0.25">
      <c r="A2" s="126" t="s">
        <v>0</v>
      </c>
      <c r="B2" s="119" t="s">
        <v>97</v>
      </c>
      <c r="C2" s="120" t="s">
        <v>98</v>
      </c>
      <c r="D2" s="121" t="s">
        <v>99</v>
      </c>
      <c r="E2" s="121" t="s">
        <v>100</v>
      </c>
      <c r="F2" s="164" t="s">
        <v>24</v>
      </c>
      <c r="G2" s="119" t="s">
        <v>25</v>
      </c>
      <c r="H2" s="122" t="s">
        <v>26</v>
      </c>
      <c r="I2" s="3" t="s">
        <v>4</v>
      </c>
      <c r="J2" s="127" t="s">
        <v>27</v>
      </c>
    </row>
    <row r="3" spans="1:21" x14ac:dyDescent="0.25">
      <c r="A3" s="128" t="s">
        <v>28</v>
      </c>
      <c r="B3" s="75">
        <f>'Dry Mass_NR'!$AC$12</f>
        <v>1.7523809523809285E-2</v>
      </c>
      <c r="C3" s="113">
        <f>B3*1000</f>
        <v>17.523809523809284</v>
      </c>
      <c r="D3" s="5">
        <v>15</v>
      </c>
      <c r="E3" s="113">
        <f>C3*D3</f>
        <v>262.85714285713925</v>
      </c>
      <c r="F3" s="165">
        <v>0.25700000000000001</v>
      </c>
      <c r="G3" s="75">
        <f>((-$R$17)+SQRT(($R$17^2)-(4*$R$16*($R$18-F3))))/(2*$R$16)</f>
        <v>52.57589027255289</v>
      </c>
      <c r="H3" s="116">
        <f>G3/E3</f>
        <v>0.20001697386297571</v>
      </c>
      <c r="I3" s="123">
        <f>AVERAGE(H3:H5)</f>
        <v>0.19688628118732301</v>
      </c>
      <c r="J3" s="129">
        <f>_xlfn.STDEV.S(H3:H5)/I3</f>
        <v>3.9386971145110326E-2</v>
      </c>
      <c r="L3" t="s">
        <v>151</v>
      </c>
    </row>
    <row r="4" spans="1:21" x14ac:dyDescent="0.25">
      <c r="A4" s="128" t="s">
        <v>30</v>
      </c>
      <c r="B4" s="75">
        <f>'Dry Mass_NR'!$AC$12</f>
        <v>1.7523809523809285E-2</v>
      </c>
      <c r="C4" s="113">
        <f t="shared" ref="C4:C5" si="0">B4*1000</f>
        <v>17.523809523809284</v>
      </c>
      <c r="D4" s="5">
        <v>15</v>
      </c>
      <c r="E4" s="113">
        <f t="shared" ref="E4:E5" si="1">C4*D4</f>
        <v>262.85714285713925</v>
      </c>
      <c r="F4" s="165">
        <v>0.26</v>
      </c>
      <c r="G4" s="75">
        <f t="shared" ref="G4:G5" si="2">((-$R$17)+SQRT(($R$17^2)-(4*$R$16*($R$18-F4))))/(2*$R$16)</f>
        <v>53.251251579564276</v>
      </c>
      <c r="H4" s="116">
        <f t="shared" ref="H4:H5" si="3">G4/E4</f>
        <v>0.20258628318312774</v>
      </c>
      <c r="I4" s="5"/>
      <c r="J4" s="130">
        <f>_xlfn.STDEV.S(H3:H5)</f>
        <v>7.7547542759931701E-3</v>
      </c>
      <c r="L4" t="s">
        <v>25</v>
      </c>
      <c r="M4" t="s">
        <v>147</v>
      </c>
      <c r="N4" t="s">
        <v>148</v>
      </c>
      <c r="O4" t="s">
        <v>24</v>
      </c>
    </row>
    <row r="5" spans="1:21" x14ac:dyDescent="0.25">
      <c r="A5" s="131" t="s">
        <v>31</v>
      </c>
      <c r="B5" s="86">
        <f>'Dry Mass_NR'!$AC$12</f>
        <v>1.7523809523809285E-2</v>
      </c>
      <c r="C5" s="114">
        <f t="shared" si="0"/>
        <v>17.523809523809284</v>
      </c>
      <c r="D5" s="85">
        <v>15</v>
      </c>
      <c r="E5" s="114">
        <f t="shared" si="1"/>
        <v>262.85714285713925</v>
      </c>
      <c r="F5" s="166">
        <v>0.24299999999999999</v>
      </c>
      <c r="G5" s="75">
        <f t="shared" si="2"/>
        <v>49.431754169884009</v>
      </c>
      <c r="H5" s="117">
        <f t="shared" si="3"/>
        <v>0.18805558651586565</v>
      </c>
      <c r="I5" s="85"/>
      <c r="J5" s="135" t="s">
        <v>32</v>
      </c>
      <c r="L5">
        <v>400</v>
      </c>
      <c r="M5">
        <v>1.609</v>
      </c>
      <c r="N5">
        <v>1.341</v>
      </c>
      <c r="O5" s="30">
        <f>AVERAGE(M5:N5)</f>
        <v>1.4750000000000001</v>
      </c>
    </row>
    <row r="6" spans="1:21" x14ac:dyDescent="0.25">
      <c r="A6" s="251" t="s">
        <v>103</v>
      </c>
      <c r="B6" s="252"/>
      <c r="C6" s="252"/>
      <c r="D6" s="252"/>
      <c r="E6" s="252"/>
      <c r="F6" s="252"/>
      <c r="G6" s="252"/>
      <c r="H6" s="252"/>
      <c r="I6" s="252"/>
      <c r="J6" s="253"/>
      <c r="L6">
        <v>200</v>
      </c>
      <c r="M6">
        <v>0.77500000000000002</v>
      </c>
      <c r="N6">
        <v>0.59399999999999997</v>
      </c>
      <c r="O6" s="30">
        <f t="shared" ref="O6:O19" si="4">AVERAGE(M6:N6)</f>
        <v>0.6845</v>
      </c>
    </row>
    <row r="7" spans="1:21" ht="30" x14ac:dyDescent="0.25">
      <c r="A7" s="126" t="s">
        <v>0</v>
      </c>
      <c r="B7" s="119" t="s">
        <v>97</v>
      </c>
      <c r="C7" s="120" t="s">
        <v>98</v>
      </c>
      <c r="D7" s="121" t="s">
        <v>99</v>
      </c>
      <c r="E7" s="121" t="s">
        <v>100</v>
      </c>
      <c r="F7" s="164" t="s">
        <v>24</v>
      </c>
      <c r="G7" s="119" t="s">
        <v>25</v>
      </c>
      <c r="H7" s="122" t="s">
        <v>26</v>
      </c>
      <c r="I7" s="3" t="s">
        <v>4</v>
      </c>
      <c r="J7" s="127" t="s">
        <v>27</v>
      </c>
      <c r="L7">
        <v>100</v>
      </c>
      <c r="M7">
        <v>0.35299999999999998</v>
      </c>
      <c r="N7">
        <v>0.42599999999999999</v>
      </c>
      <c r="O7" s="30">
        <f t="shared" si="4"/>
        <v>0.38949999999999996</v>
      </c>
    </row>
    <row r="8" spans="1:21" x14ac:dyDescent="0.25">
      <c r="A8" s="128" t="s">
        <v>28</v>
      </c>
      <c r="B8" s="75">
        <f>'Dry Mass_NR'!$AC$13</f>
        <v>0.7714619047619039</v>
      </c>
      <c r="C8" s="113">
        <f>B8*1000</f>
        <v>771.46190476190395</v>
      </c>
      <c r="D8" s="10">
        <v>10</v>
      </c>
      <c r="E8" s="113">
        <f>C8*D8</f>
        <v>7714.6190476190395</v>
      </c>
      <c r="F8" s="165">
        <v>0.61199999999999999</v>
      </c>
      <c r="G8" s="75">
        <f>5*((-$U$17)+SQRT(($U$17^2)-(4*$U$16*($U$18-F8))))/(2*$U$16)</f>
        <v>876.57474424343968</v>
      </c>
      <c r="H8" s="116">
        <f>G8/E8</f>
        <v>0.11362514971027333</v>
      </c>
      <c r="I8" s="123">
        <f>AVERAGE(H8:H12)</f>
        <v>0.11528355805113633</v>
      </c>
      <c r="J8" s="143">
        <f>_xlfn.STDEV.S(H8:H12)/I8</f>
        <v>0.18441601584559694</v>
      </c>
      <c r="L8">
        <v>50</v>
      </c>
      <c r="M8">
        <v>0.24299999999999999</v>
      </c>
      <c r="N8">
        <v>0.22600000000000001</v>
      </c>
      <c r="O8" s="30">
        <f t="shared" si="4"/>
        <v>0.23449999999999999</v>
      </c>
    </row>
    <row r="9" spans="1:21" x14ac:dyDescent="0.25">
      <c r="A9" s="128" t="s">
        <v>30</v>
      </c>
      <c r="B9" s="75">
        <f>'Dry Mass_NR'!$AC$13</f>
        <v>0.7714619047619039</v>
      </c>
      <c r="C9" s="113">
        <f t="shared" ref="C9:C12" si="5">B9*1000</f>
        <v>771.46190476190395</v>
      </c>
      <c r="D9" s="10">
        <v>10</v>
      </c>
      <c r="E9" s="113">
        <f t="shared" ref="E9:E12" si="6">C9*D9</f>
        <v>7714.6190476190395</v>
      </c>
      <c r="F9" s="165">
        <v>0.58599999999999997</v>
      </c>
      <c r="G9" s="75">
        <f t="shared" ref="G9:G12" si="7">5*((-$U$17)+SQRT(($U$17^2)-(4*$U$16*($U$18-F9))))/(2*$U$16)</f>
        <v>838.69508877981912</v>
      </c>
      <c r="H9" s="116">
        <f t="shared" ref="H9:H12" si="8">G9/E9</f>
        <v>0.10871503616742623</v>
      </c>
      <c r="I9" s="5"/>
      <c r="J9" s="130">
        <f>_xlfn.STDEV.S(H8:H12)</f>
        <v>2.1260134468295153E-2</v>
      </c>
      <c r="L9">
        <v>10</v>
      </c>
      <c r="M9">
        <v>6.8000000000000005E-2</v>
      </c>
      <c r="N9">
        <v>6.3E-2</v>
      </c>
      <c r="O9" s="30">
        <f t="shared" si="4"/>
        <v>6.5500000000000003E-2</v>
      </c>
    </row>
    <row r="10" spans="1:21" ht="15" customHeight="1" x14ac:dyDescent="0.25">
      <c r="A10" s="128" t="s">
        <v>31</v>
      </c>
      <c r="B10" s="75">
        <f>'Dry Mass_NR'!$AC$13</f>
        <v>0.7714619047619039</v>
      </c>
      <c r="C10" s="113">
        <f t="shared" si="5"/>
        <v>771.46190476190395</v>
      </c>
      <c r="D10" s="10">
        <v>10</v>
      </c>
      <c r="E10" s="113">
        <f t="shared" si="6"/>
        <v>7714.6190476190395</v>
      </c>
      <c r="F10" s="165">
        <v>0.81200000000000006</v>
      </c>
      <c r="G10" s="75">
        <f t="shared" si="7"/>
        <v>1158.375143810171</v>
      </c>
      <c r="H10" s="116">
        <f t="shared" si="8"/>
        <v>0.15015325276076724</v>
      </c>
      <c r="I10" s="5"/>
      <c r="J10" s="13" t="s">
        <v>32</v>
      </c>
      <c r="L10">
        <v>400</v>
      </c>
      <c r="O10" s="30"/>
    </row>
    <row r="11" spans="1:21" x14ac:dyDescent="0.25">
      <c r="A11" s="128" t="s">
        <v>33</v>
      </c>
      <c r="B11" s="75">
        <f>'Dry Mass_NR'!$AC$13</f>
        <v>0.7714619047619039</v>
      </c>
      <c r="C11" s="113">
        <f t="shared" si="5"/>
        <v>771.46190476190395</v>
      </c>
      <c r="D11" s="10">
        <v>10</v>
      </c>
      <c r="E11" s="113">
        <f t="shared" si="6"/>
        <v>7714.6190476190395</v>
      </c>
      <c r="F11" s="165">
        <v>0.5</v>
      </c>
      <c r="G11" s="75">
        <f t="shared" si="7"/>
        <v>711.15695355540481</v>
      </c>
      <c r="H11" s="116">
        <f t="shared" si="8"/>
        <v>9.2183029280608342E-2</v>
      </c>
      <c r="I11" s="5"/>
      <c r="J11" s="130"/>
      <c r="L11">
        <v>200</v>
      </c>
      <c r="M11">
        <v>0.66200000000000003</v>
      </c>
      <c r="N11">
        <v>0.63800000000000001</v>
      </c>
      <c r="O11" s="30">
        <f t="shared" si="4"/>
        <v>0.65</v>
      </c>
    </row>
    <row r="12" spans="1:21" x14ac:dyDescent="0.25">
      <c r="A12" s="131" t="s">
        <v>34</v>
      </c>
      <c r="B12" s="75">
        <f>'Dry Mass_NR'!$AC$13</f>
        <v>0.7714619047619039</v>
      </c>
      <c r="C12" s="114">
        <f t="shared" si="5"/>
        <v>771.46190476190395</v>
      </c>
      <c r="D12" s="85">
        <v>10</v>
      </c>
      <c r="E12" s="114">
        <f t="shared" si="6"/>
        <v>7714.6190476190395</v>
      </c>
      <c r="F12" s="166">
        <v>0.60199999999999998</v>
      </c>
      <c r="G12" s="75">
        <f t="shared" si="7"/>
        <v>862.04173370412366</v>
      </c>
      <c r="H12" s="117">
        <f t="shared" si="8"/>
        <v>0.11174132233660654</v>
      </c>
      <c r="I12" s="85"/>
      <c r="J12" s="135"/>
      <c r="L12">
        <v>100</v>
      </c>
      <c r="M12">
        <v>0.35799999999999998</v>
      </c>
      <c r="N12">
        <v>0.36199999999999999</v>
      </c>
      <c r="O12" s="30">
        <f t="shared" si="4"/>
        <v>0.36</v>
      </c>
    </row>
    <row r="13" spans="1:21" x14ac:dyDescent="0.25">
      <c r="A13" s="251" t="s">
        <v>102</v>
      </c>
      <c r="B13" s="252"/>
      <c r="C13" s="252"/>
      <c r="D13" s="252"/>
      <c r="E13" s="252"/>
      <c r="F13" s="252"/>
      <c r="G13" s="252"/>
      <c r="H13" s="252"/>
      <c r="I13" s="252"/>
      <c r="J13" s="253"/>
      <c r="L13">
        <v>50</v>
      </c>
      <c r="M13">
        <v>0.24399999999999999</v>
      </c>
      <c r="N13">
        <v>0.23899999999999999</v>
      </c>
      <c r="O13" s="30">
        <f t="shared" si="4"/>
        <v>0.24149999999999999</v>
      </c>
    </row>
    <row r="14" spans="1:21" ht="30" x14ac:dyDescent="0.25">
      <c r="A14" s="126" t="s">
        <v>0</v>
      </c>
      <c r="B14" s="119" t="s">
        <v>97</v>
      </c>
      <c r="C14" s="120" t="s">
        <v>98</v>
      </c>
      <c r="D14" s="121" t="s">
        <v>99</v>
      </c>
      <c r="E14" s="121" t="s">
        <v>100</v>
      </c>
      <c r="F14" s="164" t="s">
        <v>24</v>
      </c>
      <c r="G14" s="119" t="s">
        <v>25</v>
      </c>
      <c r="H14" s="122" t="s">
        <v>26</v>
      </c>
      <c r="I14" s="3" t="s">
        <v>4</v>
      </c>
      <c r="J14" s="127" t="s">
        <v>27</v>
      </c>
      <c r="L14">
        <v>10</v>
      </c>
      <c r="M14">
        <v>6.6000000000000003E-2</v>
      </c>
      <c r="N14">
        <v>6.8000000000000005E-2</v>
      </c>
      <c r="O14" s="30">
        <f t="shared" si="4"/>
        <v>6.7000000000000004E-2</v>
      </c>
    </row>
    <row r="15" spans="1:21" x14ac:dyDescent="0.25">
      <c r="A15" s="128" t="s">
        <v>28</v>
      </c>
      <c r="B15" s="75">
        <f>'Dry Mass_NR'!$AC$14</f>
        <v>2.2480000000000031E-2</v>
      </c>
      <c r="C15" s="113">
        <f>B15*1000</f>
        <v>22.480000000000032</v>
      </c>
      <c r="D15" s="5">
        <v>15</v>
      </c>
      <c r="E15" s="113">
        <f>C15*D15</f>
        <v>337.2000000000005</v>
      </c>
      <c r="F15" s="165">
        <v>0.19800000000000001</v>
      </c>
      <c r="G15" s="75">
        <f>((-$U$17)+SQRT(($U$17^2)-(4*$U$16*($U$18-F15))))/(2*$U$16)</f>
        <v>46.358657816887735</v>
      </c>
      <c r="H15" s="116">
        <f>G15/E15</f>
        <v>0.13748119162778075</v>
      </c>
      <c r="I15" s="124">
        <f>AVERAGE(H15:H17)</f>
        <v>0.13362430749985507</v>
      </c>
      <c r="J15" s="136">
        <f>_xlfn.STDEV.S(H15:H17)/I15</f>
        <v>5.7610629746671187E-2</v>
      </c>
      <c r="L15">
        <v>400</v>
      </c>
      <c r="M15">
        <v>1.3220000000000001</v>
      </c>
      <c r="N15">
        <v>1.667</v>
      </c>
      <c r="O15" s="30">
        <f t="shared" si="4"/>
        <v>1.4944999999999999</v>
      </c>
      <c r="Q15" s="197" t="s">
        <v>164</v>
      </c>
      <c r="R15" s="198"/>
      <c r="T15" s="197" t="s">
        <v>146</v>
      </c>
      <c r="U15" s="198"/>
    </row>
    <row r="16" spans="1:21" x14ac:dyDescent="0.25">
      <c r="A16" s="128" t="s">
        <v>30</v>
      </c>
      <c r="B16" s="75">
        <f>'Dry Mass_NR'!$AC$14</f>
        <v>2.2480000000000031E-2</v>
      </c>
      <c r="C16" s="113">
        <f t="shared" ref="C16:C17" si="9">B16*1000</f>
        <v>22.480000000000032</v>
      </c>
      <c r="D16" s="5">
        <v>15</v>
      </c>
      <c r="E16" s="113">
        <f t="shared" ref="E16:E17" si="10">C16*D16</f>
        <v>337.2000000000005</v>
      </c>
      <c r="F16" s="165">
        <v>0.23100000000000001</v>
      </c>
      <c r="G16" s="75">
        <f t="shared" ref="G16:G17" si="11">((-$R$17)+SQRT(($R$17^2)-(4*$R$16*($R$18-F16))))/(2*$R$16)</f>
        <v>46.746597464852783</v>
      </c>
      <c r="H16" s="116">
        <f t="shared" ref="H16:H17" si="12">G16/E16</f>
        <v>0.13863166507963437</v>
      </c>
      <c r="I16" s="5"/>
      <c r="J16" s="144">
        <f>_xlfn.STDEV.S(H15:H17)</f>
        <v>7.6981805045294883E-3</v>
      </c>
      <c r="L16">
        <v>200</v>
      </c>
      <c r="M16">
        <v>0.60199999999999998</v>
      </c>
      <c r="N16">
        <v>0.77800000000000002</v>
      </c>
      <c r="O16" s="30">
        <f t="shared" si="4"/>
        <v>0.69</v>
      </c>
      <c r="Q16" s="4" t="s">
        <v>124</v>
      </c>
      <c r="R16" s="94">
        <v>-2.7927E-6</v>
      </c>
      <c r="T16" s="4" t="s">
        <v>124</v>
      </c>
      <c r="U16" s="94">
        <f xml:space="preserve"> 0.0000018251</f>
        <v>1.8250999999999999E-6</v>
      </c>
    </row>
    <row r="17" spans="1:21" x14ac:dyDescent="0.25">
      <c r="A17" s="131" t="s">
        <v>31</v>
      </c>
      <c r="B17" s="75">
        <f>'Dry Mass_NR'!$AC$14</f>
        <v>2.2480000000000031E-2</v>
      </c>
      <c r="C17" s="114">
        <f t="shared" si="9"/>
        <v>22.480000000000032</v>
      </c>
      <c r="D17" s="85">
        <v>15</v>
      </c>
      <c r="E17" s="114">
        <f t="shared" si="10"/>
        <v>337.2000000000005</v>
      </c>
      <c r="F17" s="166">
        <v>0.21</v>
      </c>
      <c r="G17" s="75">
        <f t="shared" si="11"/>
        <v>42.069094185113052</v>
      </c>
      <c r="H17" s="117">
        <f t="shared" si="12"/>
        <v>0.12476006579215003</v>
      </c>
      <c r="I17" s="85"/>
      <c r="J17" s="135" t="s">
        <v>32</v>
      </c>
      <c r="L17">
        <v>100</v>
      </c>
      <c r="M17">
        <v>0.42099999999999999</v>
      </c>
      <c r="N17">
        <v>0.36599999999999999</v>
      </c>
      <c r="O17" s="30">
        <f t="shared" si="4"/>
        <v>0.39349999999999996</v>
      </c>
      <c r="Q17" s="4" t="s">
        <v>125</v>
      </c>
      <c r="R17" s="94">
        <v>4.7376101999999998E-3</v>
      </c>
      <c r="T17" s="4" t="s">
        <v>125</v>
      </c>
      <c r="U17" s="94">
        <v>2.8058136000000001E-3</v>
      </c>
    </row>
    <row r="18" spans="1:21" ht="13.5" customHeight="1" x14ac:dyDescent="0.25">
      <c r="A18" s="245" t="s">
        <v>37</v>
      </c>
      <c r="B18" s="246"/>
      <c r="C18" s="246"/>
      <c r="D18" s="246"/>
      <c r="E18" s="246"/>
      <c r="F18" s="246"/>
      <c r="G18" s="246"/>
      <c r="H18" s="246"/>
      <c r="I18" s="246"/>
      <c r="J18" s="247"/>
      <c r="L18">
        <v>50</v>
      </c>
      <c r="M18">
        <v>0.22</v>
      </c>
      <c r="N18">
        <v>0.251</v>
      </c>
      <c r="O18" s="30">
        <f t="shared" si="4"/>
        <v>0.23549999999999999</v>
      </c>
      <c r="Q18" s="199" t="s">
        <v>126</v>
      </c>
      <c r="R18" s="200">
        <v>1.5635574999999999E-2</v>
      </c>
      <c r="T18" s="199" t="s">
        <v>126</v>
      </c>
      <c r="U18" s="200">
        <v>6.4003879099999994E-2</v>
      </c>
    </row>
    <row r="19" spans="1:21" ht="30" x14ac:dyDescent="0.25">
      <c r="A19" s="126" t="s">
        <v>0</v>
      </c>
      <c r="B19" s="119" t="s">
        <v>97</v>
      </c>
      <c r="C19" s="120" t="s">
        <v>98</v>
      </c>
      <c r="D19" s="121" t="s">
        <v>99</v>
      </c>
      <c r="E19" s="121" t="s">
        <v>100</v>
      </c>
      <c r="F19" s="164" t="s">
        <v>24</v>
      </c>
      <c r="G19" s="119" t="s">
        <v>25</v>
      </c>
      <c r="H19" s="122" t="s">
        <v>26</v>
      </c>
      <c r="I19" s="3" t="s">
        <v>4</v>
      </c>
      <c r="J19" s="127" t="s">
        <v>27</v>
      </c>
      <c r="L19">
        <v>10</v>
      </c>
      <c r="M19">
        <v>5.7000000000000002E-2</v>
      </c>
      <c r="N19">
        <v>6.7000000000000004E-2</v>
      </c>
      <c r="O19" s="30">
        <f t="shared" si="4"/>
        <v>6.2E-2</v>
      </c>
    </row>
    <row r="20" spans="1:21" x14ac:dyDescent="0.25">
      <c r="A20" s="128" t="s">
        <v>28</v>
      </c>
      <c r="B20" s="75">
        <f>'Dry Mass_NR'!$AC$15</f>
        <v>0.49584285714285586</v>
      </c>
      <c r="C20" s="113">
        <f>B20*1000</f>
        <v>495.84285714285585</v>
      </c>
      <c r="D20" s="10">
        <v>10</v>
      </c>
      <c r="E20" s="113">
        <f>C20*D20</f>
        <v>4958.4285714285588</v>
      </c>
      <c r="F20" s="165">
        <v>0.59599999999999997</v>
      </c>
      <c r="G20" s="75">
        <f>5*((-$R$22)+SQRT(($R$22^2)-(4*$R$21*($R$23-F20))))/(2*$R$21)</f>
        <v>392.32050014023844</v>
      </c>
      <c r="H20" s="116">
        <f>G20/E20</f>
        <v>7.912194246396255E-2</v>
      </c>
      <c r="I20" s="124">
        <f>AVERAGE(H20:H22)</f>
        <v>7.1168901952501543E-2</v>
      </c>
      <c r="J20" s="136">
        <f>_xlfn.STDEV.S(H20:H22)/I20</f>
        <v>0.1779621182507061</v>
      </c>
      <c r="O20" s="30"/>
      <c r="Q20" s="197" t="s">
        <v>163</v>
      </c>
      <c r="R20" s="198"/>
    </row>
    <row r="21" spans="1:21" x14ac:dyDescent="0.25">
      <c r="A21" s="128" t="s">
        <v>30</v>
      </c>
      <c r="B21" s="75">
        <f>'Dry Mass_NR'!$AC$15</f>
        <v>0.49584285714285586</v>
      </c>
      <c r="C21" s="113">
        <f t="shared" ref="C21:C22" si="13">B21*1000</f>
        <v>495.84285714285585</v>
      </c>
      <c r="D21" s="10">
        <v>10</v>
      </c>
      <c r="E21" s="113">
        <f t="shared" ref="E21:E22" si="14">C21*D21</f>
        <v>4958.4285714285588</v>
      </c>
      <c r="F21" s="165">
        <v>0.439</v>
      </c>
      <c r="G21" s="75">
        <f t="shared" ref="G21:G22" si="15">5*((-$R$22)+SQRT(($R$22^2)-(4*$R$21*($R$23-F21))))/(2*$R$21)</f>
        <v>280.46600587126744</v>
      </c>
      <c r="H21" s="116">
        <f t="shared" ref="H21:H22" si="16">G21/E21</f>
        <v>5.6563486159177077E-2</v>
      </c>
      <c r="I21" s="5"/>
      <c r="J21" s="144">
        <f>_xlfn.STDEV.S(H20:H22)</f>
        <v>1.2665368545043987E-2</v>
      </c>
      <c r="Q21" s="4" t="s">
        <v>124</v>
      </c>
      <c r="R21" s="94">
        <v>-1.9209999999999999E-6</v>
      </c>
    </row>
    <row r="22" spans="1:21" x14ac:dyDescent="0.25">
      <c r="A22" s="131" t="s">
        <v>31</v>
      </c>
      <c r="B22" s="75">
        <f>'Dry Mass_NR'!$AC$15</f>
        <v>0.49584285714285586</v>
      </c>
      <c r="C22" s="114">
        <f t="shared" si="13"/>
        <v>495.84285714285585</v>
      </c>
      <c r="D22" s="85">
        <v>10</v>
      </c>
      <c r="E22" s="114">
        <f t="shared" si="14"/>
        <v>4958.4285714285588</v>
      </c>
      <c r="F22" s="166">
        <v>0.58699999999999997</v>
      </c>
      <c r="G22" s="75">
        <f t="shared" si="15"/>
        <v>385.87124450393839</v>
      </c>
      <c r="H22" s="117">
        <f t="shared" si="16"/>
        <v>7.7821277234365022E-2</v>
      </c>
      <c r="I22" s="85"/>
      <c r="J22" s="135" t="s">
        <v>32</v>
      </c>
      <c r="Q22" s="4" t="s">
        <v>125</v>
      </c>
      <c r="R22" s="94">
        <v>7.2765306999999996E-3</v>
      </c>
    </row>
    <row r="23" spans="1:21" x14ac:dyDescent="0.25">
      <c r="A23" s="245" t="s">
        <v>101</v>
      </c>
      <c r="B23" s="246"/>
      <c r="C23" s="246"/>
      <c r="D23" s="246"/>
      <c r="E23" s="246"/>
      <c r="F23" s="246"/>
      <c r="G23" s="246"/>
      <c r="H23" s="246"/>
      <c r="I23" s="246"/>
      <c r="J23" s="247"/>
      <c r="Q23" s="199" t="s">
        <v>126</v>
      </c>
      <c r="R23" s="200">
        <v>3.6880424699999997E-2</v>
      </c>
    </row>
    <row r="24" spans="1:21" ht="30" x14ac:dyDescent="0.25">
      <c r="A24" s="126" t="s">
        <v>0</v>
      </c>
      <c r="B24" s="119" t="s">
        <v>97</v>
      </c>
      <c r="C24" s="120" t="s">
        <v>98</v>
      </c>
      <c r="D24" s="121" t="s">
        <v>99</v>
      </c>
      <c r="E24" s="121" t="s">
        <v>100</v>
      </c>
      <c r="F24" s="164" t="s">
        <v>24</v>
      </c>
      <c r="G24" s="119" t="s">
        <v>25</v>
      </c>
      <c r="H24" s="122" t="s">
        <v>26</v>
      </c>
      <c r="I24" s="3" t="s">
        <v>4</v>
      </c>
      <c r="J24" s="127" t="s">
        <v>27</v>
      </c>
    </row>
    <row r="25" spans="1:21" x14ac:dyDescent="0.25">
      <c r="A25" s="128" t="s">
        <v>28</v>
      </c>
      <c r="B25" s="75">
        <f>'Dry Mass_NR'!$AC$16</f>
        <v>3.4477777777777878E-2</v>
      </c>
      <c r="C25" s="113">
        <f>B25*1000</f>
        <v>34.477777777777881</v>
      </c>
      <c r="D25" s="5">
        <v>15</v>
      </c>
      <c r="E25" s="113">
        <f>C25*D25</f>
        <v>517.16666666666822</v>
      </c>
      <c r="F25" s="165">
        <v>0.33300000000000002</v>
      </c>
      <c r="G25" s="75">
        <f>((-$R$22)+SQRT(($R$22^2)-(4*$R$21*($R$23-F25))))/(2*$R$21)</f>
        <v>41.142022069320689</v>
      </c>
      <c r="H25" s="116">
        <f>G25/E25</f>
        <v>7.9552733617764548E-2</v>
      </c>
      <c r="I25" s="124">
        <f>AVERAGE(H25:H27)</f>
        <v>8.9811918150870362E-2</v>
      </c>
      <c r="J25" s="136">
        <f>_xlfn.STDEV.S(H25:H27)/I25</f>
        <v>0.13145548571669197</v>
      </c>
    </row>
    <row r="26" spans="1:21" x14ac:dyDescent="0.25">
      <c r="A26" s="128" t="s">
        <v>30</v>
      </c>
      <c r="B26" s="75">
        <f>'Dry Mass_NR'!$AC$16</f>
        <v>3.4477777777777878E-2</v>
      </c>
      <c r="C26" s="113">
        <f t="shared" ref="C26:C27" si="17">B26*1000</f>
        <v>34.477777777777881</v>
      </c>
      <c r="D26" s="5">
        <v>15</v>
      </c>
      <c r="E26" s="113">
        <f t="shared" ref="E26:E27" si="18">C26*D26</f>
        <v>517.16666666666822</v>
      </c>
      <c r="F26" s="165">
        <v>0.36099999999999999</v>
      </c>
      <c r="G26" s="75">
        <f t="shared" ref="G26:G27" si="19">((-$R$22)+SQRT(($R$22^2)-(4*$R$21*($R$23-F26))))/(2*$R$21)</f>
        <v>45.079639583104395</v>
      </c>
      <c r="H26" s="116">
        <f t="shared" ref="H26:H27" si="20">G26/E26</f>
        <v>8.7166560586086225E-2</v>
      </c>
      <c r="I26" s="5"/>
      <c r="J26" s="144">
        <f>_xlfn.STDEV.S(H25:H27)</f>
        <v>1.1806269323670448E-2</v>
      </c>
    </row>
    <row r="27" spans="1:21" x14ac:dyDescent="0.25">
      <c r="A27" s="131" t="s">
        <v>31</v>
      </c>
      <c r="B27" s="75">
        <f>'Dry Mass_NR'!$AC$16</f>
        <v>3.4477777777777878E-2</v>
      </c>
      <c r="C27" s="114">
        <f t="shared" si="17"/>
        <v>34.477777777777881</v>
      </c>
      <c r="D27" s="85">
        <v>15</v>
      </c>
      <c r="E27" s="114">
        <f t="shared" si="18"/>
        <v>517.16666666666822</v>
      </c>
      <c r="F27" s="166">
        <v>0.41799999999999998</v>
      </c>
      <c r="G27" s="75">
        <f t="shared" si="19"/>
        <v>53.12152935865069</v>
      </c>
      <c r="H27" s="117">
        <f t="shared" si="20"/>
        <v>0.10271646024876029</v>
      </c>
      <c r="I27" s="85"/>
      <c r="J27" s="135" t="s">
        <v>32</v>
      </c>
    </row>
    <row r="28" spans="1:21" x14ac:dyDescent="0.25">
      <c r="A28" s="245" t="s">
        <v>38</v>
      </c>
      <c r="B28" s="246"/>
      <c r="C28" s="246"/>
      <c r="D28" s="246"/>
      <c r="E28" s="246"/>
      <c r="F28" s="246"/>
      <c r="G28" s="246"/>
      <c r="H28" s="246"/>
      <c r="I28" s="246"/>
      <c r="J28" s="247"/>
    </row>
    <row r="29" spans="1:21" ht="30" x14ac:dyDescent="0.25">
      <c r="A29" s="126" t="s">
        <v>0</v>
      </c>
      <c r="B29" s="119" t="s">
        <v>97</v>
      </c>
      <c r="C29" s="120" t="s">
        <v>98</v>
      </c>
      <c r="D29" s="121" t="s">
        <v>99</v>
      </c>
      <c r="E29" s="121" t="s">
        <v>100</v>
      </c>
      <c r="F29" s="164" t="s">
        <v>24</v>
      </c>
      <c r="G29" s="119" t="s">
        <v>25</v>
      </c>
      <c r="H29" s="122" t="s">
        <v>26</v>
      </c>
      <c r="I29" s="3" t="s">
        <v>4</v>
      </c>
      <c r="J29" s="127" t="s">
        <v>27</v>
      </c>
    </row>
    <row r="30" spans="1:21" x14ac:dyDescent="0.25">
      <c r="A30" s="128" t="s">
        <v>28</v>
      </c>
      <c r="B30" s="75">
        <f>'Dry Mass_NR'!$AC$17</f>
        <v>0.56132857142857173</v>
      </c>
      <c r="C30" s="113">
        <f>B30*1000</f>
        <v>561.32857142857176</v>
      </c>
      <c r="D30" s="10">
        <v>10</v>
      </c>
      <c r="E30" s="113">
        <f>C30*D30</f>
        <v>5613.2857142857174</v>
      </c>
      <c r="F30" s="165">
        <v>0.28999999999999998</v>
      </c>
      <c r="G30" s="75">
        <f>5*((-$R$22)+SQRT(($R$22^2)-(4*$R$21*($R$23-F30))))/(2*$R$21)</f>
        <v>175.55603668920455</v>
      </c>
      <c r="H30" s="116">
        <f>G30/E30</f>
        <v>3.1275093701789915E-2</v>
      </c>
      <c r="I30" s="124">
        <f>AVERAGE(H30:H32)</f>
        <v>3.0240832409363382E-2</v>
      </c>
      <c r="J30" s="136">
        <f>_xlfn.STDEV.S(H30:H32)/I30</f>
        <v>0.16138231798313049</v>
      </c>
    </row>
    <row r="31" spans="1:21" x14ac:dyDescent="0.25">
      <c r="A31" s="128" t="s">
        <v>30</v>
      </c>
      <c r="B31" s="75">
        <f>'Dry Mass_NR'!$AC$17</f>
        <v>0.56132857142857173</v>
      </c>
      <c r="C31" s="113">
        <f t="shared" ref="C31:C32" si="21">B31*1000</f>
        <v>561.32857142857176</v>
      </c>
      <c r="D31" s="10">
        <v>10</v>
      </c>
      <c r="E31" s="113">
        <f t="shared" ref="E31:E32" si="22">C31*D31</f>
        <v>5613.2857142857174</v>
      </c>
      <c r="F31" s="165">
        <v>0.23899999999999999</v>
      </c>
      <c r="G31" s="75">
        <f t="shared" ref="G31:G32" si="23">5*((-$R$22)+SQRT(($R$22^2)-(4*$R$21*($R$23-F31))))/(2*$R$21)</f>
        <v>139.91824485485427</v>
      </c>
      <c r="H31" s="116">
        <f t="shared" ref="H31:H32" si="24">G31/E31</f>
        <v>2.4926264575979927E-2</v>
      </c>
      <c r="I31" s="5"/>
      <c r="J31" s="144">
        <f>_xlfn.STDEV.S(H30:H32)</f>
        <v>4.8803356319624394E-3</v>
      </c>
    </row>
    <row r="32" spans="1:21" ht="15.75" thickBot="1" x14ac:dyDescent="0.3">
      <c r="A32" s="139" t="s">
        <v>31</v>
      </c>
      <c r="B32" s="88">
        <f>'Dry Mass_NR'!$AC$17</f>
        <v>0.56132857142857173</v>
      </c>
      <c r="C32" s="140">
        <f t="shared" si="21"/>
        <v>561.32857142857176</v>
      </c>
      <c r="D32" s="68">
        <v>10</v>
      </c>
      <c r="E32" s="140">
        <f t="shared" si="22"/>
        <v>5613.2857142857174</v>
      </c>
      <c r="F32" s="167">
        <v>0.316</v>
      </c>
      <c r="G32" s="88">
        <f t="shared" si="23"/>
        <v>193.77701611070515</v>
      </c>
      <c r="H32" s="141">
        <f t="shared" si="24"/>
        <v>3.4521138950320295E-2</v>
      </c>
      <c r="I32" s="68"/>
      <c r="J32" s="142" t="s">
        <v>32</v>
      </c>
    </row>
    <row r="33" spans="1:10" x14ac:dyDescent="0.25">
      <c r="A33" s="31"/>
      <c r="B33" s="96"/>
      <c r="C33" s="36"/>
      <c r="H33" s="89"/>
      <c r="J33" s="32"/>
    </row>
    <row r="34" spans="1:10" x14ac:dyDescent="0.25">
      <c r="A34" s="31"/>
      <c r="B34" s="97"/>
      <c r="C34" s="95"/>
    </row>
    <row r="35" spans="1:10" x14ac:dyDescent="0.25">
      <c r="A35" s="31"/>
      <c r="B35" s="96"/>
      <c r="C35" s="36"/>
      <c r="D35" s="31"/>
      <c r="E35" s="36"/>
      <c r="F35" s="169"/>
      <c r="G35" s="96"/>
      <c r="H35" s="34"/>
      <c r="I35" s="1"/>
    </row>
    <row r="37" spans="1:10" x14ac:dyDescent="0.25">
      <c r="I37" s="33"/>
      <c r="J37" s="33"/>
    </row>
    <row r="38" spans="1:10" x14ac:dyDescent="0.25">
      <c r="I38" s="31"/>
      <c r="J38" s="35"/>
    </row>
    <row r="39" spans="1:10" x14ac:dyDescent="0.25">
      <c r="I39" s="31"/>
      <c r="J39" s="31"/>
    </row>
    <row r="40" spans="1:10" x14ac:dyDescent="0.25">
      <c r="I40" s="31"/>
      <c r="J40" s="31"/>
    </row>
    <row r="41" spans="1:10" x14ac:dyDescent="0.25">
      <c r="I41" s="31"/>
      <c r="J41" s="31"/>
    </row>
  </sheetData>
  <mergeCells count="6">
    <mergeCell ref="A28:J28"/>
    <mergeCell ref="A1:J1"/>
    <mergeCell ref="A6:J6"/>
    <mergeCell ref="A13:J13"/>
    <mergeCell ref="A18:J18"/>
    <mergeCell ref="A23:J23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64"/>
  <sheetViews>
    <sheetView workbookViewId="0">
      <selection activeCell="O2" sqref="O2"/>
    </sheetView>
  </sheetViews>
  <sheetFormatPr defaultRowHeight="15" x14ac:dyDescent="0.25"/>
  <cols>
    <col min="1" max="1" width="11.7109375" customWidth="1"/>
    <col min="2" max="2" width="11.7109375" style="64" customWidth="1"/>
    <col min="3" max="3" width="11.7109375" style="29" customWidth="1"/>
    <col min="4" max="6" width="11.7109375" customWidth="1"/>
    <col min="7" max="7" width="13" style="64" customWidth="1"/>
    <col min="8" max="8" width="11.7109375" customWidth="1"/>
    <col min="9" max="9" width="11.7109375" style="30" customWidth="1"/>
    <col min="10" max="10" width="12.28515625" style="30" customWidth="1"/>
    <col min="11" max="11" width="12.7109375" customWidth="1"/>
    <col min="12" max="15" width="11.7109375" customWidth="1"/>
    <col min="16" max="16" width="2.7109375" customWidth="1"/>
    <col min="18" max="18" width="12.7109375" bestFit="1" customWidth="1"/>
  </cols>
  <sheetData>
    <row r="1" spans="1:18" x14ac:dyDescent="0.25">
      <c r="A1" s="238" t="s">
        <v>181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8" ht="46.5" customHeight="1" x14ac:dyDescent="0.25">
      <c r="A2" s="126" t="s">
        <v>0</v>
      </c>
      <c r="B2" s="119" t="s">
        <v>97</v>
      </c>
      <c r="C2" s="120" t="s">
        <v>98</v>
      </c>
      <c r="D2" s="121" t="s">
        <v>99</v>
      </c>
      <c r="E2" s="121" t="s">
        <v>100</v>
      </c>
      <c r="F2" s="121" t="s">
        <v>24</v>
      </c>
      <c r="G2" s="119" t="s">
        <v>25</v>
      </c>
      <c r="H2" s="122" t="s">
        <v>26</v>
      </c>
      <c r="I2" s="3" t="s">
        <v>4</v>
      </c>
      <c r="J2" s="127" t="s">
        <v>27</v>
      </c>
    </row>
    <row r="3" spans="1:18" x14ac:dyDescent="0.25">
      <c r="A3" s="128" t="s">
        <v>28</v>
      </c>
      <c r="B3" s="75">
        <f>'Dry Mass_EC'!$N$12</f>
        <v>1.9166666666667508E-2</v>
      </c>
      <c r="C3" s="113">
        <f>B3*1000</f>
        <v>19.16666666666751</v>
      </c>
      <c r="D3" s="5">
        <v>7</v>
      </c>
      <c r="E3" s="113">
        <f>C3*D3</f>
        <v>134.16666666667257</v>
      </c>
      <c r="F3" s="5">
        <v>5.3999999999999999E-2</v>
      </c>
      <c r="G3" s="75">
        <f>((-$R$38)+SQRT(($R$38^2)-(4*$R$37*($R$39-F3))))/(2*$R$37)</f>
        <v>5.9803574536533093</v>
      </c>
      <c r="H3" s="116">
        <f>G3/E3</f>
        <v>4.4574092822258729E-2</v>
      </c>
      <c r="I3" s="123">
        <f>AVERAGE(H3:H5)</f>
        <v>3.2740371717240507E-2</v>
      </c>
      <c r="J3" s="130">
        <f>_xlfn.STDEV.S(H3:H5)/I3</f>
        <v>0.31489532895668987</v>
      </c>
      <c r="L3" t="s">
        <v>29</v>
      </c>
      <c r="M3" t="s">
        <v>166</v>
      </c>
    </row>
    <row r="4" spans="1:18" x14ac:dyDescent="0.25">
      <c r="A4" s="128" t="s">
        <v>30</v>
      </c>
      <c r="B4" s="75">
        <f>'Dry Mass_EC'!$N$12</f>
        <v>1.9166666666667508E-2</v>
      </c>
      <c r="C4" s="113">
        <f t="shared" ref="C4:C5" si="0">B4*1000</f>
        <v>19.16666666666751</v>
      </c>
      <c r="D4" s="5">
        <v>7</v>
      </c>
      <c r="E4" s="113">
        <f t="shared" ref="E4:E5" si="1">C4*D4</f>
        <v>134.16666666667257</v>
      </c>
      <c r="F4" s="5">
        <v>3.2000000000000001E-2</v>
      </c>
      <c r="G4" s="75">
        <f t="shared" ref="G4:G5" si="2">((-$R$38)+SQRT(($R$38^2)-(4*$R$37*($R$39-F4))))/(2*$R$37)</f>
        <v>3.7496649914264895</v>
      </c>
      <c r="H4" s="116">
        <f t="shared" ref="H4:H5" si="3">G4/E4</f>
        <v>2.7947813600693101E-2</v>
      </c>
      <c r="I4" s="145"/>
      <c r="J4" s="130">
        <f>_xlfn.STDEV.S(H3:H5)</f>
        <v>1.0309790122064755E-2</v>
      </c>
      <c r="L4" t="s">
        <v>25</v>
      </c>
      <c r="M4" t="s">
        <v>147</v>
      </c>
      <c r="N4" t="s">
        <v>148</v>
      </c>
      <c r="O4" t="s">
        <v>24</v>
      </c>
    </row>
    <row r="5" spans="1:18" x14ac:dyDescent="0.25">
      <c r="A5" s="128" t="s">
        <v>31</v>
      </c>
      <c r="B5" s="75">
        <f>'Dry Mass_EC'!$N$12</f>
        <v>1.9166666666667508E-2</v>
      </c>
      <c r="C5" s="113">
        <f t="shared" si="0"/>
        <v>19.16666666666751</v>
      </c>
      <c r="D5" s="5">
        <v>7</v>
      </c>
      <c r="E5" s="113">
        <f t="shared" si="1"/>
        <v>134.16666666667257</v>
      </c>
      <c r="F5" s="5">
        <v>2.9000000000000001E-2</v>
      </c>
      <c r="G5" s="75">
        <f t="shared" si="2"/>
        <v>3.4479771711100837</v>
      </c>
      <c r="H5" s="116">
        <f t="shared" si="3"/>
        <v>2.5699208728769681E-2</v>
      </c>
      <c r="I5" s="145"/>
      <c r="J5" s="13" t="s">
        <v>32</v>
      </c>
      <c r="L5">
        <v>400</v>
      </c>
      <c r="M5">
        <v>2.4790000000000001</v>
      </c>
      <c r="N5">
        <f>5*0.609</f>
        <v>3.0449999999999999</v>
      </c>
      <c r="O5" s="30">
        <f>AVERAGE(M5:N5)</f>
        <v>2.762</v>
      </c>
    </row>
    <row r="6" spans="1:18" x14ac:dyDescent="0.25">
      <c r="A6" s="245" t="s">
        <v>103</v>
      </c>
      <c r="B6" s="246"/>
      <c r="C6" s="246"/>
      <c r="D6" s="246"/>
      <c r="E6" s="246"/>
      <c r="F6" s="246"/>
      <c r="G6" s="246"/>
      <c r="H6" s="246"/>
      <c r="I6" s="246"/>
      <c r="J6" s="247"/>
      <c r="L6">
        <v>200</v>
      </c>
      <c r="O6" s="30"/>
    </row>
    <row r="7" spans="1:18" ht="30" x14ac:dyDescent="0.25">
      <c r="A7" s="126" t="s">
        <v>0</v>
      </c>
      <c r="B7" s="119" t="s">
        <v>97</v>
      </c>
      <c r="C7" s="120" t="s">
        <v>98</v>
      </c>
      <c r="D7" s="121" t="s">
        <v>99</v>
      </c>
      <c r="E7" s="121" t="s">
        <v>100</v>
      </c>
      <c r="F7" s="121" t="s">
        <v>24</v>
      </c>
      <c r="G7" s="119" t="s">
        <v>25</v>
      </c>
      <c r="H7" s="122" t="s">
        <v>26</v>
      </c>
      <c r="I7" s="3" t="s">
        <v>4</v>
      </c>
      <c r="J7" s="127" t="s">
        <v>27</v>
      </c>
      <c r="L7">
        <v>100</v>
      </c>
      <c r="M7">
        <v>0.755</v>
      </c>
      <c r="N7">
        <v>0.92600000000000005</v>
      </c>
      <c r="O7" s="30">
        <f t="shared" ref="O7:O18" si="4">AVERAGE(M7:N7)</f>
        <v>0.84050000000000002</v>
      </c>
    </row>
    <row r="8" spans="1:18" x14ac:dyDescent="0.25">
      <c r="A8" s="128" t="s">
        <v>28</v>
      </c>
      <c r="B8" s="75">
        <f>'Dry Mass_EC'!N$13</f>
        <v>0.53965952380952364</v>
      </c>
      <c r="C8" s="113">
        <f>B8*1000</f>
        <v>539.65952380952365</v>
      </c>
      <c r="D8" s="10">
        <v>10</v>
      </c>
      <c r="E8" s="113">
        <f>C8*D8</f>
        <v>5396.5952380952367</v>
      </c>
      <c r="F8" s="10">
        <v>0.51500000000000001</v>
      </c>
      <c r="G8" s="75">
        <f>5*((-$R$55)+SQRT(($R$55^2)-(4*$R$54*($R$56-F8))))/(2*$R$54)</f>
        <v>474.39743080272029</v>
      </c>
      <c r="H8" s="116">
        <f>G8/E8</f>
        <v>8.7906802321191302E-2</v>
      </c>
      <c r="I8" s="123">
        <f>AVERAGE(H8:H12)</f>
        <v>8.6323883111252858E-2</v>
      </c>
      <c r="J8" s="130">
        <f>_xlfn.STDEV.S(H8:H12)/I8</f>
        <v>0.17990525206433108</v>
      </c>
      <c r="L8">
        <v>50</v>
      </c>
      <c r="M8">
        <v>0.33100000000000002</v>
      </c>
      <c r="N8">
        <v>0.42399999999999999</v>
      </c>
      <c r="O8" s="30">
        <f t="shared" si="4"/>
        <v>0.3775</v>
      </c>
    </row>
    <row r="9" spans="1:18" x14ac:dyDescent="0.25">
      <c r="A9" s="128" t="s">
        <v>30</v>
      </c>
      <c r="B9" s="75">
        <f>'Dry Mass_EC'!N$13</f>
        <v>0.53965952380952364</v>
      </c>
      <c r="C9" s="113">
        <f t="shared" ref="C9:C12" si="5">B9*1000</f>
        <v>539.65952380952365</v>
      </c>
      <c r="D9" s="10">
        <v>10</v>
      </c>
      <c r="E9" s="113">
        <f t="shared" ref="E9:E12" si="6">C9*D9</f>
        <v>5396.5952380952367</v>
      </c>
      <c r="F9" s="10">
        <v>0.44800000000000001</v>
      </c>
      <c r="G9" s="75">
        <f t="shared" ref="G9:G12" si="7">5*((-$R$55)+SQRT(($R$55^2)-(4*$R$54*($R$56-F9))))/(2*$R$54)</f>
        <v>407.79768996211556</v>
      </c>
      <c r="H9" s="116">
        <f t="shared" ref="H9:H12" si="8">G9/E9</f>
        <v>7.5565735796418634E-2</v>
      </c>
      <c r="I9" s="145"/>
      <c r="J9" s="130">
        <f>_xlfn.STDEV.S(H8:H12)</f>
        <v>1.5530119950301798E-2</v>
      </c>
      <c r="L9">
        <v>10</v>
      </c>
      <c r="M9">
        <v>8.4000000000000005E-2</v>
      </c>
      <c r="N9">
        <v>0.114</v>
      </c>
      <c r="O9" s="30">
        <f t="shared" si="4"/>
        <v>9.9000000000000005E-2</v>
      </c>
    </row>
    <row r="10" spans="1:18" ht="17.25" customHeight="1" x14ac:dyDescent="0.25">
      <c r="A10" s="128" t="s">
        <v>31</v>
      </c>
      <c r="B10" s="75">
        <f>'Dry Mass_EC'!N$13</f>
        <v>0.53965952380952364</v>
      </c>
      <c r="C10" s="113">
        <f t="shared" si="5"/>
        <v>539.65952380952365</v>
      </c>
      <c r="D10" s="10">
        <v>10</v>
      </c>
      <c r="E10" s="113">
        <f t="shared" si="6"/>
        <v>5396.5952380952367</v>
      </c>
      <c r="F10" s="10">
        <v>0.61099999999999999</v>
      </c>
      <c r="G10" s="75">
        <f t="shared" si="7"/>
        <v>572.34521156397386</v>
      </c>
      <c r="H10" s="116">
        <f t="shared" si="8"/>
        <v>0.10605672397361171</v>
      </c>
      <c r="I10" s="145"/>
      <c r="J10" s="13" t="s">
        <v>32</v>
      </c>
      <c r="L10">
        <v>400</v>
      </c>
      <c r="M10">
        <v>2.395</v>
      </c>
      <c r="N10">
        <f>5*0.53</f>
        <v>2.6500000000000004</v>
      </c>
      <c r="O10" s="30">
        <f t="shared" si="4"/>
        <v>2.5225</v>
      </c>
    </row>
    <row r="11" spans="1:18" x14ac:dyDescent="0.25">
      <c r="A11" s="128" t="s">
        <v>33</v>
      </c>
      <c r="B11" s="75">
        <f>'Dry Mass_EC'!N$13</f>
        <v>0.53965952380952364</v>
      </c>
      <c r="C11" s="113">
        <f t="shared" si="5"/>
        <v>539.65952380952365</v>
      </c>
      <c r="D11" s="10">
        <v>10</v>
      </c>
      <c r="E11" s="113">
        <f t="shared" si="6"/>
        <v>5396.5952380952367</v>
      </c>
      <c r="F11" s="10">
        <v>0.4</v>
      </c>
      <c r="G11" s="75">
        <f t="shared" si="7"/>
        <v>360.91669546147074</v>
      </c>
      <c r="H11" s="116">
        <f t="shared" si="8"/>
        <v>6.6878592804906864E-2</v>
      </c>
      <c r="I11" s="90"/>
      <c r="J11" s="147"/>
      <c r="L11">
        <v>200</v>
      </c>
      <c r="M11">
        <v>1.157</v>
      </c>
      <c r="N11">
        <v>1.3009999999999999</v>
      </c>
      <c r="O11" s="30">
        <f t="shared" si="4"/>
        <v>1.2290000000000001</v>
      </c>
    </row>
    <row r="12" spans="1:18" x14ac:dyDescent="0.25">
      <c r="A12" s="131" t="s">
        <v>34</v>
      </c>
      <c r="B12" s="75">
        <f>'Dry Mass_EC'!N$13</f>
        <v>0.53965952380952364</v>
      </c>
      <c r="C12" s="114">
        <f t="shared" si="5"/>
        <v>539.65952380952365</v>
      </c>
      <c r="D12" s="85">
        <v>10</v>
      </c>
      <c r="E12" s="114">
        <f t="shared" si="6"/>
        <v>5396.5952380952367</v>
      </c>
      <c r="F12" s="85">
        <v>0.55400000000000005</v>
      </c>
      <c r="G12" s="75">
        <f t="shared" si="7"/>
        <v>513.81825487010474</v>
      </c>
      <c r="H12" s="117">
        <f t="shared" si="8"/>
        <v>9.5211560660135822E-2</v>
      </c>
      <c r="I12" s="90"/>
      <c r="J12" s="147"/>
      <c r="L12">
        <v>100</v>
      </c>
      <c r="M12">
        <v>0.60599999999999998</v>
      </c>
      <c r="N12">
        <v>0.73099999999999998</v>
      </c>
      <c r="O12" s="30">
        <f t="shared" si="4"/>
        <v>0.66849999999999998</v>
      </c>
    </row>
    <row r="13" spans="1:18" x14ac:dyDescent="0.25">
      <c r="A13" s="245" t="s">
        <v>102</v>
      </c>
      <c r="B13" s="246"/>
      <c r="C13" s="246"/>
      <c r="D13" s="246"/>
      <c r="E13" s="246"/>
      <c r="F13" s="246"/>
      <c r="G13" s="246"/>
      <c r="H13" s="246"/>
      <c r="I13" s="246"/>
      <c r="J13" s="247"/>
      <c r="L13">
        <v>50</v>
      </c>
      <c r="M13">
        <v>0.435</v>
      </c>
      <c r="N13">
        <v>0.47899999999999998</v>
      </c>
      <c r="O13" s="30">
        <f t="shared" si="4"/>
        <v>0.45699999999999996</v>
      </c>
    </row>
    <row r="14" spans="1:18" ht="30" x14ac:dyDescent="0.25">
      <c r="A14" s="126" t="s">
        <v>0</v>
      </c>
      <c r="B14" s="119" t="s">
        <v>97</v>
      </c>
      <c r="C14" s="120" t="s">
        <v>98</v>
      </c>
      <c r="D14" s="121" t="s">
        <v>99</v>
      </c>
      <c r="E14" s="121" t="s">
        <v>100</v>
      </c>
      <c r="F14" s="121" t="s">
        <v>24</v>
      </c>
      <c r="G14" s="119" t="s">
        <v>25</v>
      </c>
      <c r="H14" s="122" t="s">
        <v>26</v>
      </c>
      <c r="I14" s="3" t="s">
        <v>4</v>
      </c>
      <c r="J14" s="127" t="s">
        <v>27</v>
      </c>
      <c r="L14">
        <v>10</v>
      </c>
      <c r="M14">
        <v>7.6999999999999999E-2</v>
      </c>
      <c r="N14">
        <v>9.6000000000000002E-2</v>
      </c>
      <c r="O14" s="30">
        <f t="shared" si="4"/>
        <v>8.6499999999999994E-2</v>
      </c>
    </row>
    <row r="15" spans="1:18" x14ac:dyDescent="0.25">
      <c r="A15" s="128" t="s">
        <v>28</v>
      </c>
      <c r="B15" s="75">
        <f>'Dry Mass_EC'!N$14</f>
        <v>2.2277777777777567E-2</v>
      </c>
      <c r="C15" s="113">
        <f>B15*1000</f>
        <v>22.277777777777565</v>
      </c>
      <c r="D15" s="5">
        <v>15</v>
      </c>
      <c r="E15" s="113">
        <f>C15*D15</f>
        <v>334.1666666666635</v>
      </c>
      <c r="F15" s="10">
        <v>0.14699999999999999</v>
      </c>
      <c r="G15" s="75">
        <f>((-$R$55)+SQRT(($R$55^2)-(4*$R$54*($R$56-F15))))/(2*$R$54)</f>
        <v>24.827685566421803</v>
      </c>
      <c r="H15" s="116">
        <f>G15/E15</f>
        <v>7.429731341572679E-2</v>
      </c>
      <c r="I15" s="124">
        <f>AVERAGE(H15:H17)</f>
        <v>6.7997409922505289E-2</v>
      </c>
      <c r="J15" s="136">
        <f>_xlfn.STDEV.S(H15:H17)/I15</f>
        <v>8.4894842005347942E-2</v>
      </c>
      <c r="L15">
        <v>400</v>
      </c>
      <c r="O15" s="30"/>
    </row>
    <row r="16" spans="1:18" x14ac:dyDescent="0.25">
      <c r="A16" s="128" t="s">
        <v>30</v>
      </c>
      <c r="B16" s="75">
        <f>'Dry Mass_EC'!N$14</f>
        <v>2.2277777777777567E-2</v>
      </c>
      <c r="C16" s="113">
        <f t="shared" ref="C16:C17" si="9">B16*1000</f>
        <v>22.277777777777565</v>
      </c>
      <c r="D16" s="5">
        <v>15</v>
      </c>
      <c r="E16" s="113">
        <f t="shared" ref="E16:E17" si="10">C16*D16</f>
        <v>334.1666666666635</v>
      </c>
      <c r="F16" s="10">
        <v>0.126</v>
      </c>
      <c r="G16" s="75">
        <f t="shared" ref="G16:G17" si="11">((-$R$55)+SQRT(($R$55^2)-(4*$R$54*($R$56-F16))))/(2*$R$54)</f>
        <v>21.039650210595788</v>
      </c>
      <c r="H16" s="116">
        <f t="shared" ref="H16:H17" si="12">G16/E16</f>
        <v>6.2961546764875767E-2</v>
      </c>
      <c r="I16" s="145"/>
      <c r="J16" s="134">
        <f>_xlfn.STDEV.S(H15:H17)</f>
        <v>5.7726293721439646E-3</v>
      </c>
      <c r="L16">
        <v>200</v>
      </c>
      <c r="M16">
        <v>1.391</v>
      </c>
      <c r="N16">
        <v>1.7769999999999999</v>
      </c>
      <c r="O16" s="30">
        <f t="shared" si="4"/>
        <v>1.5840000000000001</v>
      </c>
      <c r="Q16" t="s">
        <v>124</v>
      </c>
      <c r="R16">
        <v>-1.9209999999999999E-6</v>
      </c>
    </row>
    <row r="17" spans="1:18" x14ac:dyDescent="0.25">
      <c r="A17" s="131" t="s">
        <v>31</v>
      </c>
      <c r="B17" s="75">
        <f>'Dry Mass_EC'!N$14</f>
        <v>2.2277777777777567E-2</v>
      </c>
      <c r="C17" s="114">
        <f t="shared" si="9"/>
        <v>22.277777777777565</v>
      </c>
      <c r="D17" s="85">
        <v>15</v>
      </c>
      <c r="E17" s="114">
        <f t="shared" si="10"/>
        <v>334.1666666666635</v>
      </c>
      <c r="F17" s="85">
        <v>0.13300000000000001</v>
      </c>
      <c r="G17" s="75">
        <f t="shared" si="11"/>
        <v>22.300067670293306</v>
      </c>
      <c r="H17" s="117">
        <f t="shared" si="12"/>
        <v>6.6733369586913269E-2</v>
      </c>
      <c r="I17" s="145"/>
      <c r="J17" s="13" t="s">
        <v>32</v>
      </c>
      <c r="L17">
        <v>100</v>
      </c>
      <c r="M17">
        <v>0.61</v>
      </c>
      <c r="N17">
        <v>0.81100000000000005</v>
      </c>
      <c r="O17" s="30">
        <f t="shared" si="4"/>
        <v>0.71050000000000002</v>
      </c>
      <c r="Q17" t="s">
        <v>125</v>
      </c>
      <c r="R17">
        <v>7.2765306999999996E-3</v>
      </c>
    </row>
    <row r="18" spans="1:18" ht="18.75" customHeight="1" x14ac:dyDescent="0.25">
      <c r="A18" s="245" t="s">
        <v>37</v>
      </c>
      <c r="B18" s="246"/>
      <c r="C18" s="246"/>
      <c r="D18" s="246"/>
      <c r="E18" s="246"/>
      <c r="F18" s="246"/>
      <c r="G18" s="246"/>
      <c r="H18" s="246"/>
      <c r="I18" s="246"/>
      <c r="J18" s="247"/>
      <c r="L18">
        <v>50</v>
      </c>
      <c r="M18">
        <v>0.40400000000000003</v>
      </c>
      <c r="N18">
        <v>0.46200000000000002</v>
      </c>
      <c r="O18" s="30">
        <f t="shared" si="4"/>
        <v>0.43300000000000005</v>
      </c>
      <c r="Q18" t="s">
        <v>126</v>
      </c>
      <c r="R18">
        <v>3.6880424699999997E-2</v>
      </c>
    </row>
    <row r="19" spans="1:18" x14ac:dyDescent="0.25">
      <c r="A19" s="254" t="s">
        <v>177</v>
      </c>
      <c r="B19" s="255"/>
      <c r="C19" s="255"/>
      <c r="D19" s="255"/>
      <c r="E19" s="255"/>
      <c r="F19" s="255"/>
      <c r="G19" s="255"/>
      <c r="H19" s="255"/>
      <c r="I19" s="255"/>
      <c r="J19" s="256"/>
      <c r="L19">
        <v>10</v>
      </c>
      <c r="M19">
        <v>7.8E-2</v>
      </c>
      <c r="N19">
        <v>0.108</v>
      </c>
      <c r="O19" s="30">
        <f>AVERAGE(M19:N19)</f>
        <v>9.2999999999999999E-2</v>
      </c>
    </row>
    <row r="20" spans="1:18" x14ac:dyDescent="0.25">
      <c r="A20" s="254"/>
      <c r="B20" s="255"/>
      <c r="C20" s="255"/>
      <c r="D20" s="255"/>
      <c r="E20" s="255"/>
      <c r="F20" s="255"/>
      <c r="G20" s="255"/>
      <c r="H20" s="255"/>
      <c r="I20" s="255"/>
      <c r="J20" s="256"/>
    </row>
    <row r="21" spans="1:18" x14ac:dyDescent="0.25">
      <c r="A21" s="254"/>
      <c r="B21" s="255"/>
      <c r="C21" s="255"/>
      <c r="D21" s="255"/>
      <c r="E21" s="255"/>
      <c r="F21" s="255"/>
      <c r="G21" s="255"/>
      <c r="H21" s="255"/>
      <c r="I21" s="255"/>
      <c r="J21" s="256"/>
    </row>
    <row r="22" spans="1:18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59"/>
    </row>
    <row r="23" spans="1:18" x14ac:dyDescent="0.25">
      <c r="A23" s="245" t="s">
        <v>101</v>
      </c>
      <c r="B23" s="246"/>
      <c r="C23" s="246"/>
      <c r="D23" s="246"/>
      <c r="E23" s="246"/>
      <c r="F23" s="246"/>
      <c r="G23" s="246"/>
      <c r="H23" s="246"/>
      <c r="I23" s="246"/>
      <c r="J23" s="247"/>
    </row>
    <row r="24" spans="1:18" ht="30" x14ac:dyDescent="0.25">
      <c r="A24" s="126" t="s">
        <v>0</v>
      </c>
      <c r="B24" s="119" t="s">
        <v>97</v>
      </c>
      <c r="C24" s="120" t="s">
        <v>98</v>
      </c>
      <c r="D24" s="121" t="s">
        <v>99</v>
      </c>
      <c r="E24" s="121" t="s">
        <v>100</v>
      </c>
      <c r="F24" s="121" t="s">
        <v>24</v>
      </c>
      <c r="G24" s="119" t="s">
        <v>25</v>
      </c>
      <c r="H24" s="122" t="s">
        <v>26</v>
      </c>
      <c r="I24" s="3" t="s">
        <v>4</v>
      </c>
      <c r="J24" s="127" t="s">
        <v>27</v>
      </c>
      <c r="L24" t="s">
        <v>29</v>
      </c>
      <c r="M24" s="194" t="s">
        <v>165</v>
      </c>
    </row>
    <row r="25" spans="1:18" x14ac:dyDescent="0.25">
      <c r="A25" s="128" t="s">
        <v>28</v>
      </c>
      <c r="B25" s="75">
        <f>'Dry Mass_EC'!N$16</f>
        <v>1.9213333333333082E-2</v>
      </c>
      <c r="C25" s="113">
        <f>B25*1000</f>
        <v>19.213333333333082</v>
      </c>
      <c r="D25" s="5">
        <v>15</v>
      </c>
      <c r="E25" s="113">
        <f>C25*D25</f>
        <v>288.19999999999624</v>
      </c>
      <c r="F25" s="5">
        <v>0.13400000000000001</v>
      </c>
      <c r="G25" s="75">
        <f>((-$R$55)+SQRT(($R$55^2)-(4*$R$54*($R$56-F25))))/(2*$R$54)</f>
        <v>22.480311264485504</v>
      </c>
      <c r="H25" s="116">
        <f>G25/E25</f>
        <v>7.8002467954496169E-2</v>
      </c>
      <c r="I25" s="124">
        <f>AVERAGE(H25:H27)</f>
        <v>7.0723545000404911E-2</v>
      </c>
      <c r="J25" s="136">
        <f>_xlfn.STDEV.S(H25:H27)/I25</f>
        <v>0.10592441842025567</v>
      </c>
      <c r="L25" t="s">
        <v>25</v>
      </c>
      <c r="M25" t="s">
        <v>147</v>
      </c>
      <c r="N25" t="s">
        <v>148</v>
      </c>
      <c r="O25" t="s">
        <v>24</v>
      </c>
    </row>
    <row r="26" spans="1:18" x14ac:dyDescent="0.25">
      <c r="A26" s="128" t="s">
        <v>30</v>
      </c>
      <c r="B26" s="75">
        <f>'Dry Mass_EC'!N$16</f>
        <v>1.9213333333333082E-2</v>
      </c>
      <c r="C26" s="113">
        <f t="shared" ref="C26:C27" si="13">B26*1000</f>
        <v>19.213333333333082</v>
      </c>
      <c r="D26" s="5">
        <v>15</v>
      </c>
      <c r="E26" s="113">
        <f t="shared" ref="E26:E27" si="14">C26*D26</f>
        <v>288.19999999999624</v>
      </c>
      <c r="F26" s="5">
        <v>0.123</v>
      </c>
      <c r="G26" s="75">
        <f t="shared" ref="G26:G27" si="15">((-$R$55)+SQRT(($R$55^2)-(4*$R$54*($R$56-F26))))/(2*$R$54)</f>
        <v>20.50015920594878</v>
      </c>
      <c r="H26" s="116">
        <f t="shared" ref="H26:H27" si="16">G26/E26</f>
        <v>7.1131711332231257E-2</v>
      </c>
      <c r="I26" s="145"/>
      <c r="J26" s="134">
        <f>_xlfn.STDEV.S(H25:H27)</f>
        <v>7.4913503727866704E-3</v>
      </c>
      <c r="L26">
        <v>50</v>
      </c>
      <c r="M26">
        <v>0.33100000000000002</v>
      </c>
      <c r="N26">
        <v>0.42399999999999999</v>
      </c>
      <c r="O26" s="30">
        <f t="shared" ref="O26:O30" si="17">AVERAGE(M26:N26)</f>
        <v>0.3775</v>
      </c>
    </row>
    <row r="27" spans="1:18" x14ac:dyDescent="0.25">
      <c r="A27" s="131" t="s">
        <v>31</v>
      </c>
      <c r="B27" s="75">
        <f>'Dry Mass_EC'!N$16</f>
        <v>1.9213333333333082E-2</v>
      </c>
      <c r="C27" s="114">
        <f t="shared" si="13"/>
        <v>19.213333333333082</v>
      </c>
      <c r="D27" s="85">
        <v>15</v>
      </c>
      <c r="E27" s="114">
        <f t="shared" si="14"/>
        <v>288.19999999999624</v>
      </c>
      <c r="F27" s="85">
        <v>0.11</v>
      </c>
      <c r="G27" s="75">
        <f t="shared" si="15"/>
        <v>18.167106536915014</v>
      </c>
      <c r="H27" s="117">
        <f t="shared" si="16"/>
        <v>6.3036455714487336E-2</v>
      </c>
      <c r="I27" s="145"/>
      <c r="J27" s="13" t="s">
        <v>32</v>
      </c>
      <c r="L27">
        <v>10</v>
      </c>
      <c r="M27">
        <v>8.4000000000000005E-2</v>
      </c>
      <c r="N27">
        <v>0.114</v>
      </c>
      <c r="O27" s="30">
        <f t="shared" si="17"/>
        <v>9.9000000000000005E-2</v>
      </c>
    </row>
    <row r="28" spans="1:18" x14ac:dyDescent="0.25">
      <c r="A28" s="245" t="s">
        <v>38</v>
      </c>
      <c r="B28" s="246"/>
      <c r="C28" s="246"/>
      <c r="D28" s="246"/>
      <c r="E28" s="246"/>
      <c r="F28" s="246"/>
      <c r="G28" s="246"/>
      <c r="H28" s="246"/>
      <c r="I28" s="246"/>
      <c r="J28" s="247"/>
      <c r="L28">
        <v>100</v>
      </c>
      <c r="M28">
        <v>0.60599999999999998</v>
      </c>
      <c r="N28">
        <v>0.73099999999999998</v>
      </c>
      <c r="O28" s="30">
        <f t="shared" si="17"/>
        <v>0.66849999999999998</v>
      </c>
    </row>
    <row r="29" spans="1:18" x14ac:dyDescent="0.25">
      <c r="A29" s="254" t="s">
        <v>180</v>
      </c>
      <c r="B29" s="255"/>
      <c r="C29" s="255"/>
      <c r="D29" s="255"/>
      <c r="E29" s="255"/>
      <c r="F29" s="255"/>
      <c r="G29" s="255"/>
      <c r="H29" s="255"/>
      <c r="I29" s="255"/>
      <c r="J29" s="256"/>
      <c r="L29">
        <v>50</v>
      </c>
      <c r="M29">
        <v>0.435</v>
      </c>
      <c r="N29">
        <v>0.47899999999999998</v>
      </c>
      <c r="O29" s="30">
        <f t="shared" si="17"/>
        <v>0.45699999999999996</v>
      </c>
    </row>
    <row r="30" spans="1:18" x14ac:dyDescent="0.25">
      <c r="A30" s="254"/>
      <c r="B30" s="255"/>
      <c r="C30" s="255"/>
      <c r="D30" s="255"/>
      <c r="E30" s="255"/>
      <c r="F30" s="255"/>
      <c r="G30" s="255"/>
      <c r="H30" s="255"/>
      <c r="I30" s="255"/>
      <c r="J30" s="256"/>
      <c r="L30">
        <v>10</v>
      </c>
      <c r="M30">
        <v>7.6999999999999999E-2</v>
      </c>
      <c r="N30">
        <v>9.6000000000000002E-2</v>
      </c>
      <c r="O30" s="30">
        <f t="shared" si="17"/>
        <v>8.6499999999999994E-2</v>
      </c>
    </row>
    <row r="31" spans="1:18" x14ac:dyDescent="0.25">
      <c r="A31" s="254"/>
      <c r="B31" s="255"/>
      <c r="C31" s="255"/>
      <c r="D31" s="255"/>
      <c r="E31" s="255"/>
      <c r="F31" s="255"/>
      <c r="G31" s="255"/>
      <c r="H31" s="255"/>
      <c r="I31" s="255"/>
      <c r="J31" s="256"/>
      <c r="L31">
        <v>100</v>
      </c>
      <c r="M31">
        <v>0.61</v>
      </c>
      <c r="N31">
        <v>0.81100000000000005</v>
      </c>
      <c r="O31" s="30">
        <f t="shared" ref="O31:O32" si="18">AVERAGE(M31:N31)</f>
        <v>0.71050000000000002</v>
      </c>
    </row>
    <row r="32" spans="1:18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59"/>
      <c r="L32">
        <v>50</v>
      </c>
      <c r="M32">
        <v>0.40400000000000003</v>
      </c>
      <c r="N32">
        <v>0.46200000000000002</v>
      </c>
      <c r="O32" s="30">
        <f t="shared" si="18"/>
        <v>0.43300000000000005</v>
      </c>
    </row>
    <row r="33" spans="1:18" x14ac:dyDescent="0.25">
      <c r="A33" s="31"/>
      <c r="B33" s="96"/>
      <c r="C33" s="36"/>
      <c r="H33" s="89"/>
      <c r="I33" s="150"/>
      <c r="L33">
        <v>10</v>
      </c>
      <c r="M33">
        <v>7.8E-2</v>
      </c>
      <c r="N33">
        <v>0.108</v>
      </c>
      <c r="O33" s="30">
        <f>AVERAGE(M33:N33)</f>
        <v>9.2999999999999999E-2</v>
      </c>
    </row>
    <row r="34" spans="1:18" x14ac:dyDescent="0.25">
      <c r="A34" s="31"/>
      <c r="B34" s="97"/>
      <c r="C34" s="95"/>
      <c r="D34" s="31"/>
      <c r="E34" s="31"/>
    </row>
    <row r="35" spans="1:18" x14ac:dyDescent="0.25">
      <c r="A35" s="192"/>
      <c r="B35" s="96"/>
      <c r="C35" s="36"/>
      <c r="D35" s="31"/>
      <c r="E35" s="36"/>
      <c r="F35" s="31"/>
      <c r="G35" s="96"/>
      <c r="H35" s="34"/>
      <c r="I35" s="125"/>
      <c r="J35" s="125"/>
    </row>
    <row r="36" spans="1:18" x14ac:dyDescent="0.25">
      <c r="B36" s="96"/>
      <c r="C36" s="36"/>
      <c r="D36" s="31"/>
      <c r="E36" s="31"/>
      <c r="I36" s="151"/>
      <c r="J36" s="152"/>
    </row>
    <row r="37" spans="1:18" x14ac:dyDescent="0.25">
      <c r="B37" s="96"/>
      <c r="C37" s="36"/>
      <c r="D37" s="36"/>
      <c r="E37" s="31"/>
      <c r="I37" s="151"/>
      <c r="J37" s="151"/>
      <c r="Q37" t="s">
        <v>124</v>
      </c>
      <c r="R37">
        <v>-3.2240699999999998E-5</v>
      </c>
    </row>
    <row r="38" spans="1:18" x14ac:dyDescent="0.25">
      <c r="B38" s="219"/>
      <c r="C38" s="219"/>
      <c r="D38" s="219"/>
      <c r="E38" s="31"/>
      <c r="I38" s="151"/>
      <c r="J38" s="151"/>
      <c r="Q38" t="s">
        <v>125</v>
      </c>
      <c r="R38">
        <v>1.0176111099999999E-2</v>
      </c>
    </row>
    <row r="39" spans="1:18" x14ac:dyDescent="0.25">
      <c r="B39" s="219"/>
      <c r="C39" s="219"/>
      <c r="D39" s="218"/>
      <c r="E39" s="31"/>
      <c r="I39" s="151"/>
      <c r="J39" s="151"/>
      <c r="Q39" t="s">
        <v>126</v>
      </c>
      <c r="R39">
        <v>-5.7037036999999999E-3</v>
      </c>
    </row>
    <row r="40" spans="1:18" x14ac:dyDescent="0.25">
      <c r="B40" s="219"/>
      <c r="C40" s="219"/>
      <c r="D40" s="32"/>
      <c r="E40" s="31"/>
    </row>
    <row r="41" spans="1:18" x14ac:dyDescent="0.25">
      <c r="B41" s="219"/>
      <c r="C41" s="219"/>
      <c r="D41" s="218"/>
      <c r="E41" s="31"/>
      <c r="L41" t="s">
        <v>29</v>
      </c>
      <c r="M41" s="194" t="s">
        <v>179</v>
      </c>
    </row>
    <row r="42" spans="1:18" x14ac:dyDescent="0.25">
      <c r="B42" s="219"/>
      <c r="C42" s="219"/>
      <c r="D42" s="32"/>
      <c r="E42" s="31"/>
      <c r="L42" t="s">
        <v>25</v>
      </c>
      <c r="M42" t="s">
        <v>147</v>
      </c>
      <c r="N42" t="s">
        <v>148</v>
      </c>
      <c r="O42" t="s">
        <v>24</v>
      </c>
    </row>
    <row r="43" spans="1:18" x14ac:dyDescent="0.25">
      <c r="B43" s="219"/>
      <c r="C43" s="219"/>
      <c r="D43" s="32"/>
      <c r="E43" s="31"/>
      <c r="L43">
        <v>400</v>
      </c>
      <c r="M43">
        <v>1.6870000000000001</v>
      </c>
      <c r="N43">
        <v>1.74</v>
      </c>
      <c r="O43" s="30">
        <f>AVERAGE(M43:N43)</f>
        <v>1.7135</v>
      </c>
    </row>
    <row r="44" spans="1:18" x14ac:dyDescent="0.25">
      <c r="B44" s="96"/>
      <c r="C44" s="36"/>
      <c r="D44" s="31"/>
      <c r="E44" s="31"/>
      <c r="L44">
        <v>200</v>
      </c>
      <c r="M44">
        <v>0.97199999999999998</v>
      </c>
      <c r="N44">
        <v>1.0009999999999999</v>
      </c>
      <c r="O44" s="30">
        <f>AVERAGE(M44:N44)</f>
        <v>0.98649999999999993</v>
      </c>
    </row>
    <row r="45" spans="1:18" x14ac:dyDescent="0.25">
      <c r="B45" s="96"/>
      <c r="C45" s="36"/>
      <c r="D45" s="31"/>
      <c r="E45" s="31"/>
      <c r="L45">
        <v>100</v>
      </c>
      <c r="M45">
        <v>0.66200000000000003</v>
      </c>
      <c r="N45">
        <v>0.68100000000000005</v>
      </c>
      <c r="O45" s="30">
        <f t="shared" ref="O45:O52" si="19">AVERAGE(M45:N45)</f>
        <v>0.67149999999999999</v>
      </c>
    </row>
    <row r="46" spans="1:18" x14ac:dyDescent="0.25">
      <c r="L46">
        <v>50</v>
      </c>
      <c r="M46">
        <v>0.27500000000000002</v>
      </c>
      <c r="N46">
        <v>0.29099999999999998</v>
      </c>
      <c r="O46" s="30">
        <f t="shared" si="19"/>
        <v>0.28300000000000003</v>
      </c>
    </row>
    <row r="47" spans="1:18" x14ac:dyDescent="0.25">
      <c r="L47">
        <v>10</v>
      </c>
      <c r="M47">
        <v>0.05</v>
      </c>
      <c r="N47">
        <v>0.06</v>
      </c>
      <c r="O47" s="30">
        <f t="shared" si="19"/>
        <v>5.5E-2</v>
      </c>
    </row>
    <row r="48" spans="1:18" x14ac:dyDescent="0.25">
      <c r="L48">
        <v>400</v>
      </c>
      <c r="M48">
        <v>1.6180000000000001</v>
      </c>
      <c r="N48">
        <v>1.659</v>
      </c>
      <c r="O48" s="30">
        <f t="shared" si="19"/>
        <v>1.6385000000000001</v>
      </c>
    </row>
    <row r="49" spans="1:18" x14ac:dyDescent="0.25">
      <c r="L49">
        <v>200</v>
      </c>
      <c r="M49">
        <v>0.871</v>
      </c>
      <c r="N49">
        <v>0.94399999999999995</v>
      </c>
      <c r="O49" s="30">
        <f t="shared" si="19"/>
        <v>0.90749999999999997</v>
      </c>
    </row>
    <row r="50" spans="1:18" x14ac:dyDescent="0.25">
      <c r="L50">
        <v>100</v>
      </c>
      <c r="M50">
        <v>0.56799999999999995</v>
      </c>
      <c r="N50">
        <v>0.60499999999999998</v>
      </c>
      <c r="O50" s="30">
        <f t="shared" si="19"/>
        <v>0.58650000000000002</v>
      </c>
    </row>
    <row r="51" spans="1:18" x14ac:dyDescent="0.25">
      <c r="L51">
        <v>50</v>
      </c>
      <c r="M51">
        <v>0.23799999999999999</v>
      </c>
      <c r="N51">
        <v>0.251</v>
      </c>
      <c r="O51" s="30">
        <f t="shared" si="19"/>
        <v>0.2445</v>
      </c>
    </row>
    <row r="52" spans="1:18" x14ac:dyDescent="0.25">
      <c r="L52">
        <v>10</v>
      </c>
      <c r="M52">
        <v>4.7E-2</v>
      </c>
      <c r="N52">
        <v>5.3999999999999999E-2</v>
      </c>
      <c r="O52" s="30">
        <f t="shared" si="19"/>
        <v>5.0500000000000003E-2</v>
      </c>
    </row>
    <row r="53" spans="1:18" x14ac:dyDescent="0.25">
      <c r="L53">
        <v>400</v>
      </c>
      <c r="O53" s="30"/>
    </row>
    <row r="54" spans="1:18" x14ac:dyDescent="0.25">
      <c r="L54">
        <v>200</v>
      </c>
      <c r="M54">
        <v>0.96499999999999997</v>
      </c>
      <c r="N54">
        <v>0.99399999999999999</v>
      </c>
      <c r="O54" s="30">
        <f t="shared" ref="O54:O56" si="20">AVERAGE(M54:N54)</f>
        <v>0.97950000000000004</v>
      </c>
      <c r="Q54" t="s">
        <v>124</v>
      </c>
      <c r="R54">
        <v>-3.9344E-6</v>
      </c>
    </row>
    <row r="55" spans="1:18" x14ac:dyDescent="0.25">
      <c r="L55">
        <v>100</v>
      </c>
      <c r="M55">
        <v>0.54100000000000004</v>
      </c>
      <c r="N55">
        <v>0.55800000000000005</v>
      </c>
      <c r="O55" s="30">
        <f t="shared" si="20"/>
        <v>0.5495000000000001</v>
      </c>
      <c r="Q55" t="s">
        <v>125</v>
      </c>
      <c r="R55">
        <v>5.7242313000000003E-3</v>
      </c>
    </row>
    <row r="56" spans="1:18" x14ac:dyDescent="0.25">
      <c r="L56">
        <v>50</v>
      </c>
      <c r="M56">
        <v>0.26200000000000001</v>
      </c>
      <c r="N56">
        <v>0.26800000000000002</v>
      </c>
      <c r="O56" s="30">
        <f t="shared" si="20"/>
        <v>0.26500000000000001</v>
      </c>
      <c r="Q56" t="s">
        <v>126</v>
      </c>
      <c r="R56">
        <v>7.3058042999999996E-3</v>
      </c>
    </row>
    <row r="57" spans="1:18" x14ac:dyDescent="0.25">
      <c r="L57">
        <v>10</v>
      </c>
      <c r="M57">
        <v>4.4999999999999998E-2</v>
      </c>
      <c r="N57">
        <v>6.0999999999999999E-2</v>
      </c>
      <c r="O57" s="30">
        <f>AVERAGE(M57:N57)</f>
        <v>5.2999999999999999E-2</v>
      </c>
    </row>
    <row r="59" spans="1:18" ht="15.75" thickBot="1" x14ac:dyDescent="0.3"/>
    <row r="60" spans="1:18" x14ac:dyDescent="0.25">
      <c r="A60" s="238" t="s">
        <v>176</v>
      </c>
      <c r="B60" s="239"/>
      <c r="C60" s="239"/>
      <c r="D60" s="239"/>
      <c r="E60" s="239"/>
      <c r="F60" s="239"/>
      <c r="G60" s="239"/>
      <c r="H60" s="239"/>
      <c r="I60" s="239"/>
      <c r="J60" s="240"/>
    </row>
    <row r="61" spans="1:18" ht="30" x14ac:dyDescent="0.25">
      <c r="A61" s="126" t="s">
        <v>0</v>
      </c>
      <c r="B61" s="119" t="s">
        <v>97</v>
      </c>
      <c r="C61" s="120" t="s">
        <v>98</v>
      </c>
      <c r="D61" s="121" t="s">
        <v>99</v>
      </c>
      <c r="E61" s="121" t="s">
        <v>100</v>
      </c>
      <c r="F61" s="121" t="s">
        <v>24</v>
      </c>
      <c r="G61" s="119" t="s">
        <v>25</v>
      </c>
      <c r="H61" s="122" t="s">
        <v>26</v>
      </c>
      <c r="I61" s="3" t="s">
        <v>4</v>
      </c>
      <c r="J61" s="127" t="s">
        <v>27</v>
      </c>
    </row>
    <row r="62" spans="1:18" x14ac:dyDescent="0.25">
      <c r="A62" s="128" t="s">
        <v>28</v>
      </c>
      <c r="B62" s="75">
        <f>'Dry Mass_EC'!$N$12</f>
        <v>1.9166666666667508E-2</v>
      </c>
      <c r="C62" s="113">
        <f>B62*1000</f>
        <v>19.16666666666751</v>
      </c>
      <c r="D62" s="5">
        <v>15</v>
      </c>
      <c r="E62" s="113">
        <f>C62*D62</f>
        <v>287.50000000001262</v>
      </c>
      <c r="F62" s="5">
        <v>0.16</v>
      </c>
      <c r="G62" s="75">
        <f>((-$R$55)+SQRT(($R$55^2)-(4*$R$54*($R$56-F62))))/(2*$R$54)</f>
        <v>27.182928384018311</v>
      </c>
      <c r="H62" s="116">
        <f>G62/E62</f>
        <v>9.4549316118320403E-2</v>
      </c>
      <c r="I62" s="123">
        <f>AVERAGE(H62:H64)</f>
        <v>9.4171273103479836E-2</v>
      </c>
      <c r="J62" s="130">
        <f>_xlfn.STDEV.S(H62:H64)/I62</f>
        <v>0.18767102714937065</v>
      </c>
    </row>
    <row r="63" spans="1:18" x14ac:dyDescent="0.25">
      <c r="A63" s="128" t="s">
        <v>30</v>
      </c>
      <c r="B63" s="75">
        <f>'Dry Mass_EC'!$N$12</f>
        <v>1.9166666666667508E-2</v>
      </c>
      <c r="C63" s="113">
        <f t="shared" ref="C63:C64" si="21">B63*1000</f>
        <v>19.16666666666751</v>
      </c>
      <c r="D63" s="5">
        <v>15</v>
      </c>
      <c r="E63" s="113">
        <f t="shared" ref="E63:E64" si="22">C63*D63</f>
        <v>287.50000000001262</v>
      </c>
      <c r="F63" s="5">
        <v>0.187</v>
      </c>
      <c r="G63" s="75">
        <f t="shared" ref="G63:G64" si="23">((-$R$55)+SQRT(($R$55^2)-(4*$R$54*($R$56-F63))))/(2*$R$54)</f>
        <v>32.100076041882943</v>
      </c>
      <c r="H63" s="116">
        <f t="shared" ref="H63:H64" si="24">G63/E63</f>
        <v>0.11165243840654447</v>
      </c>
      <c r="I63" s="145"/>
      <c r="J63" s="130">
        <f>_xlfn.STDEV.S(H62:H64)</f>
        <v>1.7673219551293962E-2</v>
      </c>
    </row>
    <row r="64" spans="1:18" ht="15.75" thickBot="1" x14ac:dyDescent="0.3">
      <c r="A64" s="139" t="s">
        <v>31</v>
      </c>
      <c r="B64" s="88">
        <f>'Dry Mass_EC'!$N$12</f>
        <v>1.9166666666667508E-2</v>
      </c>
      <c r="C64" s="140">
        <f t="shared" si="21"/>
        <v>19.16666666666751</v>
      </c>
      <c r="D64" s="68">
        <v>15</v>
      </c>
      <c r="E64" s="140">
        <f t="shared" si="22"/>
        <v>287.50000000001262</v>
      </c>
      <c r="F64" s="68">
        <v>0.13100000000000001</v>
      </c>
      <c r="G64" s="88">
        <f t="shared" si="23"/>
        <v>21.939718625853672</v>
      </c>
      <c r="H64" s="141">
        <f t="shared" si="24"/>
        <v>7.6312064785574646E-2</v>
      </c>
      <c r="I64" s="148"/>
      <c r="J64" s="142" t="s">
        <v>32</v>
      </c>
    </row>
  </sheetData>
  <mergeCells count="9">
    <mergeCell ref="A60:J60"/>
    <mergeCell ref="A28:J28"/>
    <mergeCell ref="A1:J1"/>
    <mergeCell ref="A6:J6"/>
    <mergeCell ref="A13:J13"/>
    <mergeCell ref="A18:J18"/>
    <mergeCell ref="A23:J23"/>
    <mergeCell ref="A19:J22"/>
    <mergeCell ref="A29:J3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R41"/>
  <sheetViews>
    <sheetView workbookViewId="0">
      <selection activeCell="L24" sqref="L24"/>
    </sheetView>
  </sheetViews>
  <sheetFormatPr defaultRowHeight="15" x14ac:dyDescent="0.25"/>
  <cols>
    <col min="1" max="1" width="11.7109375" customWidth="1"/>
    <col min="2" max="2" width="11.7109375" style="64" customWidth="1"/>
    <col min="3" max="3" width="11.7109375" style="29" customWidth="1"/>
    <col min="4" max="6" width="11.7109375" customWidth="1"/>
    <col min="7" max="7" width="13" customWidth="1"/>
    <col min="8" max="8" width="11.7109375" customWidth="1"/>
    <col min="9" max="9" width="11.7109375" style="30" customWidth="1"/>
    <col min="10" max="10" width="12.28515625" style="30" customWidth="1"/>
    <col min="11" max="11" width="12.7109375" customWidth="1"/>
    <col min="12" max="13" width="11.7109375" customWidth="1"/>
    <col min="14" max="14" width="2.7109375" customWidth="1"/>
  </cols>
  <sheetData>
    <row r="1" spans="1:18" x14ac:dyDescent="0.25">
      <c r="A1" s="238" t="s">
        <v>35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8" ht="46.5" customHeight="1" x14ac:dyDescent="0.25">
      <c r="A2" s="126" t="s">
        <v>0</v>
      </c>
      <c r="B2" s="119" t="s">
        <v>97</v>
      </c>
      <c r="C2" s="120" t="s">
        <v>98</v>
      </c>
      <c r="D2" s="121" t="s">
        <v>99</v>
      </c>
      <c r="E2" s="121" t="s">
        <v>100</v>
      </c>
      <c r="F2" s="121" t="s">
        <v>24</v>
      </c>
      <c r="G2" s="121" t="s">
        <v>25</v>
      </c>
      <c r="H2" s="122" t="s">
        <v>26</v>
      </c>
      <c r="I2" s="3" t="s">
        <v>4</v>
      </c>
      <c r="J2" s="127" t="s">
        <v>27</v>
      </c>
    </row>
    <row r="3" spans="1:18" x14ac:dyDescent="0.25">
      <c r="A3" s="128" t="s">
        <v>28</v>
      </c>
      <c r="B3" s="75">
        <f>'Dry Mass_EC'!$AC$12</f>
        <v>2.3042857142856726E-2</v>
      </c>
      <c r="C3" s="113">
        <f>B3*1000</f>
        <v>23.042857142856725</v>
      </c>
      <c r="D3" s="5">
        <v>15</v>
      </c>
      <c r="E3" s="113">
        <f>C3*D3</f>
        <v>345.64285714285086</v>
      </c>
      <c r="F3" s="5">
        <v>0.16500000000000001</v>
      </c>
      <c r="G3" s="5">
        <f>((-$P$17)+SQRT(($P$17^2)-(4*$P$16*($P$18-F3))))/(2*$P$16)</f>
        <v>35.189813615902459</v>
      </c>
      <c r="H3" s="116">
        <f>G3/E3</f>
        <v>0.10180975214355102</v>
      </c>
      <c r="I3" s="123">
        <f>AVERAGE(H3:H5)</f>
        <v>0.10999889885859045</v>
      </c>
      <c r="J3" s="130">
        <f>_xlfn.STDEV.S(H3:H5)/I3</f>
        <v>8.6694360634655701E-2</v>
      </c>
    </row>
    <row r="4" spans="1:18" x14ac:dyDescent="0.25">
      <c r="A4" s="128" t="s">
        <v>30</v>
      </c>
      <c r="B4" s="75">
        <f>'Dry Mass_EC'!$AC$12</f>
        <v>2.3042857142856726E-2</v>
      </c>
      <c r="C4" s="113">
        <f t="shared" ref="C4:C5" si="0">B4*1000</f>
        <v>23.042857142856725</v>
      </c>
      <c r="D4" s="5">
        <v>15</v>
      </c>
      <c r="E4" s="113">
        <f t="shared" ref="E4:E5" si="1">C4*D4</f>
        <v>345.64285714285086</v>
      </c>
      <c r="F4" s="5">
        <v>0.17100000000000001</v>
      </c>
      <c r="G4" s="5">
        <f t="shared" ref="G4:G5" si="2">((-$P$17)+SQRT(($P$17^2)-(4*$P$16*($P$18-F4))))/(2*$P$16)</f>
        <v>37.232025663173857</v>
      </c>
      <c r="H4" s="116">
        <f t="shared" ref="H4:H5" si="3">G4/E4</f>
        <v>0.10771819782691537</v>
      </c>
      <c r="I4" s="145"/>
      <c r="J4" s="130">
        <f>_xlfn.STDEV.S(H3:H5)</f>
        <v>9.5362842070616568E-3</v>
      </c>
    </row>
    <row r="5" spans="1:18" x14ac:dyDescent="0.25">
      <c r="A5" s="128" t="s">
        <v>31</v>
      </c>
      <c r="B5" s="75">
        <f>'Dry Mass_EC'!$AC$12</f>
        <v>2.3042857142856726E-2</v>
      </c>
      <c r="C5" s="113">
        <f t="shared" si="0"/>
        <v>23.042857142856725</v>
      </c>
      <c r="D5" s="5">
        <v>15</v>
      </c>
      <c r="E5" s="113">
        <f t="shared" si="1"/>
        <v>345.64285714285086</v>
      </c>
      <c r="F5" s="5">
        <v>0.184</v>
      </c>
      <c r="G5" s="5">
        <f t="shared" si="2"/>
        <v>41.639161773075713</v>
      </c>
      <c r="H5" s="117">
        <f t="shared" si="3"/>
        <v>0.12046874660530493</v>
      </c>
      <c r="I5" s="145"/>
      <c r="J5" s="13" t="s">
        <v>32</v>
      </c>
      <c r="M5" s="30"/>
    </row>
    <row r="6" spans="1:18" x14ac:dyDescent="0.25">
      <c r="A6" s="245" t="s">
        <v>103</v>
      </c>
      <c r="B6" s="246"/>
      <c r="C6" s="246"/>
      <c r="D6" s="246"/>
      <c r="E6" s="246"/>
      <c r="F6" s="246"/>
      <c r="G6" s="246"/>
      <c r="H6" s="246"/>
      <c r="I6" s="246"/>
      <c r="J6" s="247"/>
    </row>
    <row r="7" spans="1:18" ht="30" x14ac:dyDescent="0.25">
      <c r="A7" s="126" t="s">
        <v>0</v>
      </c>
      <c r="B7" s="119" t="s">
        <v>97</v>
      </c>
      <c r="C7" s="120" t="s">
        <v>98</v>
      </c>
      <c r="D7" s="121" t="s">
        <v>99</v>
      </c>
      <c r="E7" s="121" t="s">
        <v>100</v>
      </c>
      <c r="F7" s="121" t="s">
        <v>24</v>
      </c>
      <c r="G7" s="121" t="s">
        <v>25</v>
      </c>
      <c r="H7" s="122" t="s">
        <v>26</v>
      </c>
      <c r="I7" s="3" t="s">
        <v>4</v>
      </c>
      <c r="J7" s="127" t="s">
        <v>27</v>
      </c>
    </row>
    <row r="8" spans="1:18" x14ac:dyDescent="0.25">
      <c r="A8" s="128" t="s">
        <v>28</v>
      </c>
      <c r="B8" s="75">
        <f>'Dry Mass_EC'!$AC$13</f>
        <v>0.76320952380952267</v>
      </c>
      <c r="C8" s="113">
        <f>B8*1000</f>
        <v>763.20952380952269</v>
      </c>
      <c r="D8" s="10">
        <v>10</v>
      </c>
      <c r="E8" s="113">
        <f>C8*D8</f>
        <v>7632.0952380952267</v>
      </c>
      <c r="F8" s="5">
        <v>0.36799999999999999</v>
      </c>
      <c r="G8" s="75">
        <f>5*((-$R$17)+SQRT(($R$17^2)-(4*$R$16*($R$18-F8))))/(2*$R$16)</f>
        <v>230.32677497259178</v>
      </c>
      <c r="H8" s="116">
        <f>G8/E8</f>
        <v>3.017870817739892E-2</v>
      </c>
      <c r="I8" s="123">
        <f>AVERAGE(H8:H12)</f>
        <v>4.014336488375881E-2</v>
      </c>
      <c r="J8" s="154">
        <f>_xlfn.STDEV.S(H8:H12)/I8</f>
        <v>0.15654645485718499</v>
      </c>
    </row>
    <row r="9" spans="1:18" x14ac:dyDescent="0.25">
      <c r="A9" s="128" t="s">
        <v>30</v>
      </c>
      <c r="B9" s="75">
        <f>'Dry Mass_EC'!$AC$13</f>
        <v>0.76320952380952267</v>
      </c>
      <c r="C9" s="113">
        <f t="shared" ref="C9:C12" si="4">B9*1000</f>
        <v>763.20952380952269</v>
      </c>
      <c r="D9" s="10">
        <v>10</v>
      </c>
      <c r="E9" s="113">
        <f t="shared" ref="E9:E12" si="5">C9*D9</f>
        <v>7632.0952380952267</v>
      </c>
      <c r="F9" s="5">
        <v>0.47099999999999997</v>
      </c>
      <c r="G9" s="75">
        <f t="shared" ref="G9:G12" si="6">5*((-$R$17)+SQRT(($R$17^2)-(4*$R$16*($R$18-F9))))/(2*$R$16)</f>
        <v>303.15362670508705</v>
      </c>
      <c r="H9" s="116">
        <f t="shared" ref="H9:H12" si="7">G9/E9</f>
        <v>3.9720891478385999E-2</v>
      </c>
      <c r="I9" s="145"/>
      <c r="J9" s="130">
        <f>_xlfn.STDEV.S(H8:H12)</f>
        <v>6.2843014585908536E-3</v>
      </c>
    </row>
    <row r="10" spans="1:18" ht="18" customHeight="1" x14ac:dyDescent="0.25">
      <c r="A10" s="128" t="s">
        <v>31</v>
      </c>
      <c r="B10" s="75">
        <f>'Dry Mass_EC'!$AC$13</f>
        <v>0.76320952380952267</v>
      </c>
      <c r="C10" s="113">
        <f t="shared" si="4"/>
        <v>763.20952380952269</v>
      </c>
      <c r="D10" s="10">
        <v>10</v>
      </c>
      <c r="E10" s="113">
        <f t="shared" si="5"/>
        <v>7632.0952380952267</v>
      </c>
      <c r="F10" s="5">
        <v>0.48399999999999999</v>
      </c>
      <c r="G10" s="75">
        <f t="shared" si="6"/>
        <v>312.38652856484282</v>
      </c>
      <c r="H10" s="116">
        <f t="shared" si="7"/>
        <v>4.0930638156293032E-2</v>
      </c>
      <c r="I10" s="145"/>
      <c r="J10" s="13" t="s">
        <v>32</v>
      </c>
    </row>
    <row r="11" spans="1:18" x14ac:dyDescent="0.25">
      <c r="A11" s="128" t="s">
        <v>33</v>
      </c>
      <c r="B11" s="75">
        <f>'Dry Mass_EC'!$AC$13</f>
        <v>0.76320952380952267</v>
      </c>
      <c r="C11" s="113">
        <f t="shared" si="4"/>
        <v>763.20952380952269</v>
      </c>
      <c r="D11" s="10">
        <v>10</v>
      </c>
      <c r="E11" s="113">
        <f t="shared" si="5"/>
        <v>7632.0952380952267</v>
      </c>
      <c r="F11" s="10">
        <v>0.501</v>
      </c>
      <c r="G11" s="75">
        <f t="shared" si="6"/>
        <v>324.47438812973701</v>
      </c>
      <c r="H11" s="116">
        <f t="shared" si="7"/>
        <v>4.2514457433672881E-2</v>
      </c>
      <c r="I11" s="145"/>
      <c r="J11" s="130"/>
    </row>
    <row r="12" spans="1:18" x14ac:dyDescent="0.25">
      <c r="A12" s="128" t="s">
        <v>34</v>
      </c>
      <c r="B12" s="75">
        <f>'Dry Mass_EC'!$AC$13</f>
        <v>0.76320952380952267</v>
      </c>
      <c r="C12" s="113">
        <f t="shared" si="4"/>
        <v>763.20952380952269</v>
      </c>
      <c r="D12" s="10">
        <v>10</v>
      </c>
      <c r="E12" s="113">
        <f t="shared" si="5"/>
        <v>7632.0952380952267</v>
      </c>
      <c r="F12" s="85">
        <v>0.55300000000000005</v>
      </c>
      <c r="G12" s="75">
        <f t="shared" si="6"/>
        <v>361.54860148001501</v>
      </c>
      <c r="H12" s="117">
        <f t="shared" si="7"/>
        <v>4.7372129173043204E-2</v>
      </c>
      <c r="I12" s="145"/>
      <c r="J12" s="146"/>
    </row>
    <row r="13" spans="1:18" x14ac:dyDescent="0.25">
      <c r="A13" s="251" t="s">
        <v>102</v>
      </c>
      <c r="B13" s="252"/>
      <c r="C13" s="252"/>
      <c r="D13" s="252"/>
      <c r="E13" s="252"/>
      <c r="F13" s="252"/>
      <c r="G13" s="252"/>
      <c r="H13" s="252"/>
      <c r="I13" s="252"/>
      <c r="J13" s="253"/>
    </row>
    <row r="14" spans="1:18" ht="30" x14ac:dyDescent="0.25">
      <c r="A14" s="126" t="s">
        <v>0</v>
      </c>
      <c r="B14" s="119" t="s">
        <v>97</v>
      </c>
      <c r="C14" s="120" t="s">
        <v>98</v>
      </c>
      <c r="D14" s="121" t="s">
        <v>99</v>
      </c>
      <c r="E14" s="121" t="s">
        <v>100</v>
      </c>
      <c r="F14" s="121" t="s">
        <v>24</v>
      </c>
      <c r="G14" s="121" t="s">
        <v>25</v>
      </c>
      <c r="H14" s="122" t="s">
        <v>26</v>
      </c>
      <c r="I14" s="3" t="s">
        <v>4</v>
      </c>
      <c r="J14" s="127" t="s">
        <v>27</v>
      </c>
    </row>
    <row r="15" spans="1:18" x14ac:dyDescent="0.25">
      <c r="A15" s="128" t="s">
        <v>28</v>
      </c>
      <c r="B15" s="75">
        <f>'Dry Mass_EC'!$AC$14</f>
        <v>3.0259999999999981E-2</v>
      </c>
      <c r="C15" s="113">
        <f>B15*1000</f>
        <v>30.25999999999998</v>
      </c>
      <c r="D15" s="5">
        <v>15</v>
      </c>
      <c r="E15" s="113">
        <f>C15*D15</f>
        <v>453.89999999999969</v>
      </c>
      <c r="F15" s="5">
        <v>0.26300000000000001</v>
      </c>
      <c r="G15" s="5">
        <f>((-$P$17)+SQRT(($P$17^2)-(4*$P$16*($P$18-F15))))/(2*$P$16)</f>
        <v>67.921913783718452</v>
      </c>
      <c r="H15" s="116">
        <f>G15/E15</f>
        <v>0.14964070011834876</v>
      </c>
      <c r="I15" s="123">
        <f>AVERAGE(H15:H17)</f>
        <v>0.15011922347813209</v>
      </c>
      <c r="J15" s="154">
        <f>_xlfn.STDEV.S(H15:H17)/I15</f>
        <v>2.4178059542220302E-2</v>
      </c>
      <c r="O15" s="197" t="s">
        <v>149</v>
      </c>
      <c r="P15" s="198"/>
      <c r="Q15" s="197" t="s">
        <v>163</v>
      </c>
      <c r="R15" s="198"/>
    </row>
    <row r="16" spans="1:18" x14ac:dyDescent="0.25">
      <c r="A16" s="128" t="s">
        <v>30</v>
      </c>
      <c r="B16" s="75">
        <f>'Dry Mass_EC'!$AC$14</f>
        <v>3.0259999999999981E-2</v>
      </c>
      <c r="C16" s="113">
        <f t="shared" ref="C16:C17" si="8">B16*1000</f>
        <v>30.25999999999998</v>
      </c>
      <c r="D16" s="5">
        <v>15</v>
      </c>
      <c r="E16" s="113">
        <f t="shared" ref="E16:E17" si="9">C16*D16</f>
        <v>453.89999999999969</v>
      </c>
      <c r="F16" s="5">
        <v>0.25900000000000001</v>
      </c>
      <c r="G16" s="5">
        <f t="shared" ref="G16:G17" si="10">((-$P$17)+SQRT(($P$17^2)-(4*$P$16*($P$18-F16))))/(2*$P$16)</f>
        <v>66.611018457800782</v>
      </c>
      <c r="H16" s="116">
        <f t="shared" ref="H16:H17" si="11">G16/E16</f>
        <v>0.14675262934082578</v>
      </c>
      <c r="I16" s="145"/>
      <c r="J16" s="130">
        <f>_xlfn.STDEV.S(H15:H17)</f>
        <v>3.6295915236861532E-3</v>
      </c>
      <c r="O16" s="4" t="s">
        <v>124</v>
      </c>
      <c r="P16" s="94">
        <f xml:space="preserve"> 0.0000018251</f>
        <v>1.8250999999999999E-6</v>
      </c>
      <c r="Q16" s="4" t="s">
        <v>124</v>
      </c>
      <c r="R16" s="94">
        <v>-1.9209999999999999E-6</v>
      </c>
    </row>
    <row r="17" spans="1:18" x14ac:dyDescent="0.25">
      <c r="A17" s="128" t="s">
        <v>31</v>
      </c>
      <c r="B17" s="75">
        <f>'Dry Mass_EC'!$AC$14</f>
        <v>3.0259999999999981E-2</v>
      </c>
      <c r="C17" s="113">
        <f t="shared" si="8"/>
        <v>30.25999999999998</v>
      </c>
      <c r="D17" s="5">
        <v>15</v>
      </c>
      <c r="E17" s="113">
        <f t="shared" si="9"/>
        <v>453.89999999999969</v>
      </c>
      <c r="F17" s="5">
        <v>0.26900000000000002</v>
      </c>
      <c r="G17" s="5">
        <f t="shared" si="10"/>
        <v>69.884414368653111</v>
      </c>
      <c r="H17" s="117">
        <f t="shared" si="11"/>
        <v>0.15396434097522177</v>
      </c>
      <c r="I17" s="145"/>
      <c r="J17" s="13" t="s">
        <v>32</v>
      </c>
      <c r="O17" s="4" t="s">
        <v>125</v>
      </c>
      <c r="P17" s="94">
        <v>2.8058136000000001E-3</v>
      </c>
      <c r="Q17" s="4" t="s">
        <v>125</v>
      </c>
      <c r="R17" s="94">
        <v>7.2765306999999996E-3</v>
      </c>
    </row>
    <row r="18" spans="1:18" ht="15.75" customHeight="1" x14ac:dyDescent="0.25">
      <c r="A18" s="245" t="s">
        <v>37</v>
      </c>
      <c r="B18" s="246"/>
      <c r="C18" s="246"/>
      <c r="D18" s="246"/>
      <c r="E18" s="246"/>
      <c r="F18" s="246"/>
      <c r="G18" s="246"/>
      <c r="H18" s="246"/>
      <c r="I18" s="246"/>
      <c r="J18" s="247"/>
      <c r="O18" s="199" t="s">
        <v>126</v>
      </c>
      <c r="P18" s="200">
        <v>6.4003879099999994E-2</v>
      </c>
      <c r="Q18" s="199" t="s">
        <v>126</v>
      </c>
      <c r="R18" s="200">
        <v>3.6880424699999997E-2</v>
      </c>
    </row>
    <row r="19" spans="1:18" ht="30" x14ac:dyDescent="0.25">
      <c r="A19" s="126" t="s">
        <v>0</v>
      </c>
      <c r="B19" s="119" t="s">
        <v>97</v>
      </c>
      <c r="C19" s="120" t="s">
        <v>98</v>
      </c>
      <c r="D19" s="121" t="s">
        <v>99</v>
      </c>
      <c r="E19" s="121" t="s">
        <v>100</v>
      </c>
      <c r="F19" s="121" t="s">
        <v>24</v>
      </c>
      <c r="G19" s="121" t="s">
        <v>25</v>
      </c>
      <c r="H19" s="122" t="s">
        <v>26</v>
      </c>
      <c r="I19" s="3" t="s">
        <v>4</v>
      </c>
      <c r="J19" s="127" t="s">
        <v>27</v>
      </c>
    </row>
    <row r="20" spans="1:18" x14ac:dyDescent="0.25">
      <c r="A20" s="128" t="s">
        <v>28</v>
      </c>
      <c r="B20" s="75">
        <f>'Dry Mass_EC'!$AC$15</f>
        <v>0.48524761904761854</v>
      </c>
      <c r="C20" s="113">
        <f>B20*1000</f>
        <v>485.24761904761851</v>
      </c>
      <c r="D20" s="10">
        <v>10</v>
      </c>
      <c r="E20" s="113">
        <f>C20*D20</f>
        <v>4852.4761904761854</v>
      </c>
      <c r="F20" s="10">
        <v>1.7649999999999999</v>
      </c>
      <c r="G20" s="75">
        <f>((-$R$17)+SQRT(($R$17^2)-(4*$R$16*($R$18-F20))))/(2*$R$16)</f>
        <v>254.6057645987602</v>
      </c>
      <c r="H20" s="116">
        <f>G20/E20</f>
        <v>5.2469245516024908E-2</v>
      </c>
      <c r="I20" s="123">
        <f>AVERAGE(H20:H22)</f>
        <v>5.5940055241757748E-2</v>
      </c>
      <c r="J20" s="154">
        <f>_xlfn.STDEV.S(H20:H22)/I20</f>
        <v>5.8798670505890112E-2</v>
      </c>
    </row>
    <row r="21" spans="1:18" x14ac:dyDescent="0.25">
      <c r="A21" s="128" t="s">
        <v>30</v>
      </c>
      <c r="B21" s="75">
        <f>'Dry Mass_EC'!$AC$15</f>
        <v>0.48524761904761854</v>
      </c>
      <c r="C21" s="113">
        <f t="shared" ref="C21:C22" si="12">B21*1000</f>
        <v>485.24761904761851</v>
      </c>
      <c r="D21" s="10">
        <v>10</v>
      </c>
      <c r="E21" s="113">
        <f t="shared" ref="E21:E22" si="13">C21*D21</f>
        <v>4852.4761904761854</v>
      </c>
      <c r="F21" s="10">
        <v>1.9630000000000001</v>
      </c>
      <c r="G21" s="75">
        <f t="shared" ref="G21" si="14">((-$R$17)+SQRT(($R$17^2)-(4*$R$16*($R$18-F21))))/(2*$R$16)</f>
        <v>286.34999107526528</v>
      </c>
      <c r="H21" s="116">
        <f t="shared" ref="H21:H22" si="15">G21/E21</f>
        <v>5.9011106873079797E-2</v>
      </c>
      <c r="I21" s="145"/>
      <c r="J21" s="130">
        <f>_xlfn.STDEV.S(H20:H22)</f>
        <v>3.2892008762414049E-3</v>
      </c>
    </row>
    <row r="22" spans="1:18" x14ac:dyDescent="0.25">
      <c r="A22" s="128" t="s">
        <v>31</v>
      </c>
      <c r="B22" s="75">
        <f>'Dry Mass_EC'!$AC$15</f>
        <v>0.48524761904761854</v>
      </c>
      <c r="C22" s="113">
        <f t="shared" si="12"/>
        <v>485.24761904761851</v>
      </c>
      <c r="D22" s="10">
        <v>10</v>
      </c>
      <c r="E22" s="113">
        <f t="shared" si="13"/>
        <v>4852.4761904761854</v>
      </c>
      <c r="F22" s="10">
        <v>0.42899999999999999</v>
      </c>
      <c r="G22" s="75">
        <f>5*((-$R$17)+SQRT(($R$17^2)-(4*$R$16*($R$18-F22))))/(2*$R$16)</f>
        <v>273.38760278963059</v>
      </c>
      <c r="H22" s="117">
        <f t="shared" si="15"/>
        <v>5.6339813336168561E-2</v>
      </c>
      <c r="I22" s="145"/>
      <c r="J22" s="13" t="s">
        <v>32</v>
      </c>
    </row>
    <row r="23" spans="1:18" x14ac:dyDescent="0.25">
      <c r="A23" s="245" t="s">
        <v>101</v>
      </c>
      <c r="B23" s="246"/>
      <c r="C23" s="246"/>
      <c r="D23" s="246"/>
      <c r="E23" s="246"/>
      <c r="F23" s="246"/>
      <c r="G23" s="246"/>
      <c r="H23" s="246"/>
      <c r="I23" s="246"/>
      <c r="J23" s="247"/>
    </row>
    <row r="24" spans="1:18" ht="30" x14ac:dyDescent="0.25">
      <c r="A24" s="126" t="s">
        <v>0</v>
      </c>
      <c r="B24" s="119" t="s">
        <v>97</v>
      </c>
      <c r="C24" s="120" t="s">
        <v>98</v>
      </c>
      <c r="D24" s="121" t="s">
        <v>99</v>
      </c>
      <c r="E24" s="121" t="s">
        <v>100</v>
      </c>
      <c r="F24" s="121" t="s">
        <v>24</v>
      </c>
      <c r="G24" s="121" t="s">
        <v>25</v>
      </c>
      <c r="H24" s="122" t="s">
        <v>26</v>
      </c>
      <c r="I24" s="3" t="s">
        <v>4</v>
      </c>
      <c r="J24" s="127" t="s">
        <v>27</v>
      </c>
    </row>
    <row r="25" spans="1:18" x14ac:dyDescent="0.25">
      <c r="A25" s="128" t="s">
        <v>28</v>
      </c>
      <c r="B25" s="75">
        <f>'Dry Mass_EC'!$AC$16</f>
        <v>3.9591111111111375E-2</v>
      </c>
      <c r="C25" s="113">
        <f>B25*1000</f>
        <v>39.591111111111374</v>
      </c>
      <c r="D25" s="5">
        <v>15</v>
      </c>
      <c r="E25" s="113">
        <f>C25*D25</f>
        <v>593.86666666667065</v>
      </c>
      <c r="F25" s="5">
        <v>0.34300000000000003</v>
      </c>
      <c r="G25" s="75">
        <f>((-$R$17)+SQRT(($R$17^2)-(4*$R$16*($R$18-F25))))/(2*$R$16)</f>
        <v>42.547352660320783</v>
      </c>
      <c r="H25" s="116">
        <f>G25/E25</f>
        <v>7.1644621677683817E-2</v>
      </c>
      <c r="I25" s="123">
        <f>AVERAGE(H25:H27)</f>
        <v>8.4740654134922752E-2</v>
      </c>
      <c r="J25" s="154">
        <f>_xlfn.STDEV.S(H25:H27)/I25</f>
        <v>0.25092639194029126</v>
      </c>
    </row>
    <row r="26" spans="1:18" x14ac:dyDescent="0.25">
      <c r="A26" s="128" t="s">
        <v>30</v>
      </c>
      <c r="B26" s="75">
        <f>'Dry Mass_EC'!$AC$16</f>
        <v>3.9591111111111375E-2</v>
      </c>
      <c r="C26" s="113">
        <f t="shared" ref="C26:C27" si="16">B26*1000</f>
        <v>39.591111111111374</v>
      </c>
      <c r="D26" s="5">
        <v>15</v>
      </c>
      <c r="E26" s="113">
        <f t="shared" ref="E26:E27" si="17">C26*D26</f>
        <v>593.86666666667065</v>
      </c>
      <c r="F26" s="5">
        <v>0.35</v>
      </c>
      <c r="G26" s="75">
        <f t="shared" ref="G26:G27" si="18">((-$R$17)+SQRT(($R$17^2)-(4*$R$16*($R$18-F26))))/(2*$R$16)</f>
        <v>43.531719120511205</v>
      </c>
      <c r="H26" s="116">
        <f t="shared" ref="H26:H27" si="19">G26/E26</f>
        <v>7.3302176336738176E-2</v>
      </c>
      <c r="I26" s="145"/>
      <c r="J26" s="130">
        <f>_xlfn.STDEV.S(H25:H27)</f>
        <v>2.1263666592736291E-2</v>
      </c>
    </row>
    <row r="27" spans="1:18" x14ac:dyDescent="0.25">
      <c r="A27" s="128" t="s">
        <v>31</v>
      </c>
      <c r="B27" s="75">
        <f>'Dry Mass_EC'!$AC$16</f>
        <v>3.9591111111111375E-2</v>
      </c>
      <c r="C27" s="113">
        <f t="shared" si="16"/>
        <v>39.591111111111374</v>
      </c>
      <c r="D27" s="5">
        <v>15</v>
      </c>
      <c r="E27" s="113">
        <f t="shared" si="17"/>
        <v>593.86666666667065</v>
      </c>
      <c r="F27" s="5">
        <v>0.501</v>
      </c>
      <c r="G27" s="75">
        <f t="shared" si="18"/>
        <v>64.894877625947402</v>
      </c>
      <c r="H27" s="117">
        <f t="shared" si="19"/>
        <v>0.10927516439034626</v>
      </c>
      <c r="I27" s="145"/>
      <c r="J27" s="13" t="s">
        <v>32</v>
      </c>
    </row>
    <row r="28" spans="1:18" x14ac:dyDescent="0.25">
      <c r="A28" s="245" t="s">
        <v>38</v>
      </c>
      <c r="B28" s="246"/>
      <c r="C28" s="246"/>
      <c r="D28" s="246"/>
      <c r="E28" s="246"/>
      <c r="F28" s="246"/>
      <c r="G28" s="246"/>
      <c r="H28" s="246"/>
      <c r="I28" s="246"/>
      <c r="J28" s="247"/>
    </row>
    <row r="29" spans="1:18" ht="30" x14ac:dyDescent="0.25">
      <c r="A29" s="126" t="s">
        <v>0</v>
      </c>
      <c r="B29" s="119" t="s">
        <v>97</v>
      </c>
      <c r="C29" s="120" t="s">
        <v>98</v>
      </c>
      <c r="D29" s="121" t="s">
        <v>99</v>
      </c>
      <c r="E29" s="121" t="s">
        <v>100</v>
      </c>
      <c r="F29" s="121" t="s">
        <v>24</v>
      </c>
      <c r="G29" s="121" t="s">
        <v>25</v>
      </c>
      <c r="H29" s="122" t="s">
        <v>26</v>
      </c>
      <c r="I29" s="3" t="s">
        <v>4</v>
      </c>
      <c r="J29" s="127" t="s">
        <v>27</v>
      </c>
    </row>
    <row r="30" spans="1:18" x14ac:dyDescent="0.25">
      <c r="A30" s="128" t="s">
        <v>28</v>
      </c>
      <c r="B30" s="75">
        <f>'Dry Mass_EC'!$AC$17</f>
        <v>0.42998095238095185</v>
      </c>
      <c r="C30" s="113">
        <f>B30*1000</f>
        <v>429.98095238095186</v>
      </c>
      <c r="D30" s="10">
        <v>10</v>
      </c>
      <c r="E30" s="113">
        <f>C30*D30</f>
        <v>4299.8095238095184</v>
      </c>
      <c r="F30" s="10">
        <v>0.54100000000000004</v>
      </c>
      <c r="G30" s="75">
        <f>5*((-$R$17)+SQRT(($R$17^2)-(4*$R$16*($R$18-F30))))/(2*$R$16)</f>
        <v>352.97963214481246</v>
      </c>
      <c r="H30" s="116">
        <f>G30/E30</f>
        <v>8.2091922953852564E-2</v>
      </c>
      <c r="I30" s="123">
        <f>AVERAGE(H30:H32)</f>
        <v>7.7341432293422427E-2</v>
      </c>
      <c r="J30" s="154">
        <f>_xlfn.STDEV.S(H30:H32)/I30</f>
        <v>5.3578980092840192E-2</v>
      </c>
    </row>
    <row r="31" spans="1:18" x14ac:dyDescent="0.25">
      <c r="A31" s="128" t="s">
        <v>30</v>
      </c>
      <c r="B31" s="75">
        <f>'Dry Mass_EC'!$AC$17</f>
        <v>0.42998095238095185</v>
      </c>
      <c r="C31" s="113">
        <f t="shared" ref="C31:C32" si="20">B31*1000</f>
        <v>429.98095238095186</v>
      </c>
      <c r="D31" s="10">
        <v>10</v>
      </c>
      <c r="E31" s="113">
        <f t="shared" ref="E31:E32" si="21">C31*D31</f>
        <v>4299.8095238095184</v>
      </c>
      <c r="F31" s="10">
        <v>0.495</v>
      </c>
      <c r="G31" s="75">
        <f t="shared" ref="G31:G32" si="22">5*((-$R$17)+SQRT(($R$17^2)-(4*$R$16*($R$18-F31))))/(2*$R$16)</f>
        <v>320.20626120643078</v>
      </c>
      <c r="H31" s="116">
        <f t="shared" ref="H31:H32" si="23">G31/E31</f>
        <v>7.4469871149719313E-2</v>
      </c>
      <c r="I31" s="145"/>
      <c r="J31" s="130">
        <f>_xlfn.STDEV.S(H30:H32)</f>
        <v>4.1438750612010277E-3</v>
      </c>
    </row>
    <row r="32" spans="1:18" ht="15.75" thickBot="1" x14ac:dyDescent="0.3">
      <c r="A32" s="139" t="s">
        <v>31</v>
      </c>
      <c r="B32" s="88">
        <f>'Dry Mass_EC'!$AC$17</f>
        <v>0.42998095238095185</v>
      </c>
      <c r="C32" s="140">
        <f t="shared" si="20"/>
        <v>429.98095238095186</v>
      </c>
      <c r="D32" s="68">
        <v>10</v>
      </c>
      <c r="E32" s="140">
        <f t="shared" si="21"/>
        <v>4299.8095238095184</v>
      </c>
      <c r="F32" s="68">
        <v>0.501</v>
      </c>
      <c r="G32" s="88">
        <f t="shared" si="22"/>
        <v>324.47438812973701</v>
      </c>
      <c r="H32" s="141">
        <f t="shared" si="23"/>
        <v>7.5462502776695375E-2</v>
      </c>
      <c r="I32" s="148"/>
      <c r="J32" s="149" t="s">
        <v>32</v>
      </c>
    </row>
    <row r="33" spans="1:10" x14ac:dyDescent="0.25">
      <c r="A33" s="31"/>
      <c r="B33" s="96"/>
      <c r="C33" s="36"/>
      <c r="H33" s="89"/>
      <c r="J33" s="153"/>
    </row>
    <row r="34" spans="1:10" x14ac:dyDescent="0.25">
      <c r="A34" s="31"/>
      <c r="B34" s="97"/>
      <c r="C34" s="95"/>
    </row>
    <row r="35" spans="1:10" x14ac:dyDescent="0.25">
      <c r="A35" s="31"/>
      <c r="B35" s="96"/>
      <c r="C35" s="36"/>
      <c r="D35" s="31"/>
      <c r="E35" s="36"/>
      <c r="F35" s="31"/>
      <c r="G35" s="31"/>
      <c r="H35" s="34"/>
      <c r="I35" s="150"/>
    </row>
    <row r="37" spans="1:10" x14ac:dyDescent="0.25">
      <c r="I37" s="125"/>
      <c r="J37" s="125"/>
    </row>
    <row r="38" spans="1:10" x14ac:dyDescent="0.25">
      <c r="I38" s="151"/>
      <c r="J38" s="152"/>
    </row>
    <row r="39" spans="1:10" x14ac:dyDescent="0.25">
      <c r="I39" s="151"/>
      <c r="J39" s="151"/>
    </row>
    <row r="40" spans="1:10" x14ac:dyDescent="0.25">
      <c r="I40" s="151"/>
      <c r="J40" s="151"/>
    </row>
    <row r="41" spans="1:10" x14ac:dyDescent="0.25">
      <c r="I41" s="151"/>
      <c r="J41" s="151"/>
    </row>
  </sheetData>
  <mergeCells count="6">
    <mergeCell ref="A28:J28"/>
    <mergeCell ref="A1:J1"/>
    <mergeCell ref="A6:J6"/>
    <mergeCell ref="A13:J13"/>
    <mergeCell ref="A18:J18"/>
    <mergeCell ref="A23:J2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 Sheet</vt:lpstr>
      <vt:lpstr>Survival_SexRatio NR</vt:lpstr>
      <vt:lpstr>Survival_SexRatio EC</vt:lpstr>
      <vt:lpstr>Reproduction NR</vt:lpstr>
      <vt:lpstr>Reproduction EC</vt:lpstr>
      <vt:lpstr>Lipids NR 0.2ppt</vt:lpstr>
      <vt:lpstr>Lipids NR 6.0ppt</vt:lpstr>
      <vt:lpstr>Lipids EC 0.2ppt</vt:lpstr>
      <vt:lpstr>Lipids EC 6.0ppt</vt:lpstr>
      <vt:lpstr>Dry Mass_NR</vt:lpstr>
      <vt:lpstr>Dry Mass_EC</vt:lpstr>
      <vt:lpstr>Water Quality NR 0.2 ppt</vt:lpstr>
      <vt:lpstr>Water Quality NR 6.0 ppt</vt:lpstr>
      <vt:lpstr>Water Quality EC 0.2 ppt</vt:lpstr>
      <vt:lpstr>Water Quality EC 6.0 ppt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2021-06-28T16:05:22Z</dcterms:created>
  <dcterms:modified xsi:type="dcterms:W3CDTF">2021-06-28T16:25:26Z</dcterms:modified>
</cp:coreProperties>
</file>