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filterPrivacy="1"/>
  <xr:revisionPtr revIDLastSave="0" documentId="13_ncr:1_{CDB4E75A-5A16-4060-B40C-860531E57041}" xr6:coauthVersionLast="36" xr6:coauthVersionMax="36" xr10:uidLastSave="{00000000-0000-0000-0000-000000000000}"/>
  <bookViews>
    <workbookView xWindow="0" yWindow="0" windowWidth="20490" windowHeight="8910" xr2:uid="{00000000-000D-0000-FFFF-FFFF00000000}"/>
  </bookViews>
  <sheets>
    <sheet name="Cover" sheetId="8" r:id="rId1"/>
    <sheet name="Site Locations" sheetId="7" r:id="rId2"/>
    <sheet name="HA Insecticides" sheetId="1" r:id="rId3"/>
    <sheet name="HA QAQC" sheetId="3" r:id="rId4"/>
    <sheet name="Sediment Insecticides" sheetId="2" r:id="rId5"/>
    <sheet name="Sediment QAQC" sheetId="4" r:id="rId6"/>
    <sheet name="Lipid Analysis" sheetId="9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9" l="1"/>
  <c r="D9" i="9"/>
  <c r="F9" i="9" s="1"/>
  <c r="G9" i="9" s="1"/>
  <c r="I8" i="9"/>
  <c r="D8" i="9"/>
  <c r="F8" i="9" s="1"/>
  <c r="I7" i="9"/>
  <c r="F7" i="9"/>
  <c r="G7" i="9" s="1"/>
  <c r="D7" i="9"/>
  <c r="E7" i="9" s="1"/>
  <c r="I6" i="9"/>
  <c r="F6" i="9"/>
  <c r="G6" i="9" s="1"/>
  <c r="D6" i="9"/>
  <c r="E6" i="9" s="1"/>
  <c r="I5" i="9"/>
  <c r="F5" i="9"/>
  <c r="G5" i="9" s="1"/>
  <c r="E5" i="9"/>
  <c r="D5" i="9"/>
  <c r="O92" i="9"/>
  <c r="J7" i="9" l="1"/>
  <c r="J6" i="9"/>
  <c r="J5" i="9"/>
  <c r="G8" i="9"/>
  <c r="J8" i="9"/>
  <c r="J9" i="9"/>
  <c r="E9" i="9"/>
  <c r="E8" i="9"/>
  <c r="L5" i="9" l="1"/>
  <c r="M5" i="9" s="1"/>
  <c r="M6" i="9" s="1"/>
  <c r="H111" i="9" l="1"/>
  <c r="E111" i="9"/>
  <c r="F111" i="9" s="1"/>
  <c r="D111" i="9"/>
  <c r="H110" i="9"/>
  <c r="E110" i="9"/>
  <c r="F110" i="9" s="1"/>
  <c r="D110" i="9"/>
  <c r="H109" i="9"/>
  <c r="E109" i="9"/>
  <c r="F109" i="9" s="1"/>
  <c r="D109" i="9"/>
  <c r="H108" i="9"/>
  <c r="E108" i="9"/>
  <c r="F108" i="9" s="1"/>
  <c r="D108" i="9"/>
  <c r="H107" i="9"/>
  <c r="E107" i="9"/>
  <c r="F107" i="9" s="1"/>
  <c r="D107" i="9"/>
  <c r="H106" i="9"/>
  <c r="E106" i="9"/>
  <c r="F106" i="9" s="1"/>
  <c r="D106" i="9"/>
  <c r="I110" i="9" l="1"/>
  <c r="I108" i="9"/>
  <c r="I106" i="9"/>
  <c r="K106" i="9"/>
  <c r="I109" i="9"/>
  <c r="I107" i="9"/>
  <c r="I111" i="9"/>
  <c r="K107" i="9" l="1"/>
  <c r="F95" i="9" l="1"/>
  <c r="G95" i="9" s="1"/>
  <c r="C95" i="9"/>
  <c r="E95" i="9" s="1"/>
  <c r="F94" i="9"/>
  <c r="G94" i="9" s="1"/>
  <c r="C94" i="9"/>
  <c r="E94" i="9" s="1"/>
  <c r="F93" i="9"/>
  <c r="G93" i="9" s="1"/>
  <c r="C93" i="9"/>
  <c r="E93" i="9" s="1"/>
  <c r="F92" i="9"/>
  <c r="G92" i="9" s="1"/>
  <c r="C92" i="9"/>
  <c r="E92" i="9" s="1"/>
  <c r="F91" i="9"/>
  <c r="G91" i="9" s="1"/>
  <c r="C91" i="9"/>
  <c r="E91" i="9" s="1"/>
  <c r="G88" i="9"/>
  <c r="C88" i="9"/>
  <c r="E88" i="9" s="1"/>
  <c r="G87" i="9"/>
  <c r="C87" i="9"/>
  <c r="E87" i="9" s="1"/>
  <c r="H92" i="9" l="1"/>
  <c r="H91" i="9"/>
  <c r="H95" i="9"/>
  <c r="H87" i="9"/>
  <c r="I87" i="9" s="1"/>
  <c r="J87" i="9" s="1"/>
  <c r="H93" i="9"/>
  <c r="H94" i="9"/>
  <c r="H88" i="9"/>
  <c r="J88" i="9" l="1"/>
  <c r="I91" i="9"/>
  <c r="J91" i="9" s="1"/>
  <c r="J92" i="9"/>
  <c r="Y77" i="9"/>
  <c r="Y76" i="9"/>
  <c r="Y75" i="9"/>
  <c r="Y74" i="9"/>
  <c r="Y73" i="9"/>
  <c r="Y72" i="9"/>
  <c r="Y71" i="9"/>
  <c r="Y70" i="9"/>
  <c r="Y69" i="9"/>
  <c r="Y68" i="9"/>
  <c r="Y67" i="9"/>
  <c r="Y66" i="9"/>
  <c r="Y65" i="9"/>
  <c r="Y64" i="9"/>
  <c r="Y63" i="9"/>
  <c r="I69" i="9"/>
  <c r="E69" i="9"/>
  <c r="F69" i="9" s="1"/>
  <c r="D69" i="9"/>
  <c r="I68" i="9"/>
  <c r="E68" i="9"/>
  <c r="F68" i="9" s="1"/>
  <c r="D68" i="9"/>
  <c r="I67" i="9"/>
  <c r="E67" i="9"/>
  <c r="F67" i="9" s="1"/>
  <c r="D67" i="9"/>
  <c r="I66" i="9"/>
  <c r="E66" i="9"/>
  <c r="F66" i="9" s="1"/>
  <c r="D66" i="9"/>
  <c r="I65" i="9"/>
  <c r="E65" i="9"/>
  <c r="F65" i="9" s="1"/>
  <c r="D65" i="9"/>
  <c r="I64" i="9"/>
  <c r="E64" i="9"/>
  <c r="F64" i="9" s="1"/>
  <c r="D64" i="9"/>
  <c r="I63" i="9"/>
  <c r="E63" i="9"/>
  <c r="F63" i="9" s="1"/>
  <c r="D63" i="9"/>
  <c r="I62" i="9"/>
  <c r="E62" i="9"/>
  <c r="F62" i="9" s="1"/>
  <c r="D62" i="9"/>
  <c r="I61" i="9"/>
  <c r="E61" i="9"/>
  <c r="F61" i="9" s="1"/>
  <c r="D61" i="9"/>
  <c r="I60" i="9"/>
  <c r="E60" i="9"/>
  <c r="F60" i="9" s="1"/>
  <c r="D60" i="9"/>
  <c r="J65" i="9" l="1"/>
  <c r="J61" i="9"/>
  <c r="J63" i="9"/>
  <c r="J69" i="9"/>
  <c r="J67" i="9"/>
  <c r="J68" i="9"/>
  <c r="J66" i="9"/>
  <c r="J64" i="9"/>
  <c r="J60" i="9"/>
  <c r="J62" i="9"/>
  <c r="K67" i="9" l="1"/>
  <c r="K65" i="9"/>
  <c r="K66" i="9" s="1"/>
  <c r="K60" i="9"/>
  <c r="K61" i="9"/>
  <c r="K62" i="9"/>
  <c r="L31" i="9" l="1"/>
  <c r="L51" i="9"/>
  <c r="J51" i="9"/>
  <c r="D51" i="9"/>
  <c r="F51" i="9" s="1"/>
  <c r="G51" i="9" s="1"/>
  <c r="L50" i="9"/>
  <c r="J50" i="9"/>
  <c r="D50" i="9"/>
  <c r="F50" i="9" s="1"/>
  <c r="G50" i="9" s="1"/>
  <c r="L49" i="9"/>
  <c r="J49" i="9"/>
  <c r="D49" i="9"/>
  <c r="E49" i="9" s="1"/>
  <c r="L48" i="9"/>
  <c r="J48" i="9"/>
  <c r="D48" i="9"/>
  <c r="E48" i="9" s="1"/>
  <c r="L47" i="9"/>
  <c r="J47" i="9"/>
  <c r="D47" i="9"/>
  <c r="E47" i="9" s="1"/>
  <c r="L43" i="9"/>
  <c r="J43" i="9"/>
  <c r="D43" i="9"/>
  <c r="E43" i="9" s="1"/>
  <c r="L42" i="9"/>
  <c r="J42" i="9"/>
  <c r="D42" i="9"/>
  <c r="E42" i="9" s="1"/>
  <c r="L41" i="9"/>
  <c r="J41" i="9"/>
  <c r="D41" i="9"/>
  <c r="F41" i="9" s="1"/>
  <c r="G41" i="9" s="1"/>
  <c r="L40" i="9"/>
  <c r="J40" i="9"/>
  <c r="D40" i="9"/>
  <c r="F40" i="9" s="1"/>
  <c r="L39" i="9"/>
  <c r="J39" i="9"/>
  <c r="D39" i="9"/>
  <c r="F39" i="9" s="1"/>
  <c r="L35" i="9"/>
  <c r="J35" i="9"/>
  <c r="D35" i="9"/>
  <c r="F35" i="9" s="1"/>
  <c r="G35" i="9" s="1"/>
  <c r="L34" i="9"/>
  <c r="J34" i="9"/>
  <c r="D34" i="9"/>
  <c r="E34" i="9" s="1"/>
  <c r="L33" i="9"/>
  <c r="J33" i="9"/>
  <c r="D33" i="9"/>
  <c r="F33" i="9" s="1"/>
  <c r="G33" i="9" s="1"/>
  <c r="L32" i="9"/>
  <c r="J32" i="9"/>
  <c r="D32" i="9"/>
  <c r="E32" i="9" s="1"/>
  <c r="J31" i="9"/>
  <c r="D31" i="9"/>
  <c r="F31" i="9" s="1"/>
  <c r="M47" i="9" l="1"/>
  <c r="M50" i="9"/>
  <c r="M42" i="9"/>
  <c r="M34" i="9"/>
  <c r="M48" i="9"/>
  <c r="M40" i="9"/>
  <c r="M51" i="9"/>
  <c r="M32" i="9"/>
  <c r="M43" i="9"/>
  <c r="M31" i="9"/>
  <c r="M49" i="9"/>
  <c r="M39" i="9"/>
  <c r="M35" i="9"/>
  <c r="M41" i="9"/>
  <c r="F49" i="9"/>
  <c r="G49" i="9" s="1"/>
  <c r="E33" i="9"/>
  <c r="E41" i="9"/>
  <c r="G39" i="9"/>
  <c r="G31" i="9"/>
  <c r="G40" i="9"/>
  <c r="E31" i="9"/>
  <c r="F42" i="9"/>
  <c r="G42" i="9" s="1"/>
  <c r="F43" i="9"/>
  <c r="G43" i="9" s="1"/>
  <c r="F32" i="9"/>
  <c r="E39" i="9"/>
  <c r="E40" i="9"/>
  <c r="F47" i="9"/>
  <c r="F48" i="9"/>
  <c r="M33" i="9"/>
  <c r="E35" i="9"/>
  <c r="F34" i="9"/>
  <c r="G34" i="9" s="1"/>
  <c r="E50" i="9"/>
  <c r="E51" i="9"/>
  <c r="O41" i="9" l="1"/>
  <c r="O49" i="9"/>
  <c r="N40" i="9"/>
  <c r="O40" i="9" s="1"/>
  <c r="N48" i="9"/>
  <c r="O48" i="9" s="1"/>
  <c r="O33" i="9"/>
  <c r="N32" i="9"/>
  <c r="O32" i="9" s="1"/>
  <c r="G32" i="9"/>
  <c r="G48" i="9"/>
  <c r="G47" i="9"/>
  <c r="F10" i="1"/>
</calcChain>
</file>

<file path=xl/sharedStrings.xml><?xml version="1.0" encoding="utf-8"?>
<sst xmlns="http://schemas.openxmlformats.org/spreadsheetml/2006/main" count="751" uniqueCount="214">
  <si>
    <t>Sample Date</t>
  </si>
  <si>
    <t>Sample Name</t>
  </si>
  <si>
    <t>%Recovery</t>
  </si>
  <si>
    <t>%RPD</t>
  </si>
  <si>
    <t>Chlorpyrifos</t>
  </si>
  <si>
    <t>Tefluthrin</t>
  </si>
  <si>
    <t>Bifenthrin</t>
  </si>
  <si>
    <t>Fenpropathrin</t>
  </si>
  <si>
    <t>Esfenvalerate</t>
  </si>
  <si>
    <t>Deltamethrin</t>
  </si>
  <si>
    <t>na</t>
  </si>
  <si>
    <t>%OC</t>
  </si>
  <si>
    <t>RPD</t>
  </si>
  <si>
    <t>nd</t>
  </si>
  <si>
    <t>DCBP, %Recovery</t>
  </si>
  <si>
    <t>BRL</t>
  </si>
  <si>
    <t>chlorpyrifos, ng/g lipid</t>
  </si>
  <si>
    <t>tefluthrin, ng/g lipid</t>
  </si>
  <si>
    <t>bifenthrin, ng/g lipid</t>
  </si>
  <si>
    <t>cyhalothrin, ng/g lipid</t>
  </si>
  <si>
    <t>permethrin, ng/g lipid</t>
  </si>
  <si>
    <t>cyfluthrin, ng/g lipid</t>
  </si>
  <si>
    <t>cypermethrin, ng/g lipid</t>
  </si>
  <si>
    <t>esfenvalerate, ng/g lipid</t>
  </si>
  <si>
    <t>deltamethrin, ng/g lipid</t>
  </si>
  <si>
    <t>fenpropathrin, ng/g lipid</t>
  </si>
  <si>
    <t>18-052-4033</t>
  </si>
  <si>
    <t>18-275-4035 v2</t>
  </si>
  <si>
    <t>19-079-4173</t>
  </si>
  <si>
    <t>19-051-4112 v2</t>
  </si>
  <si>
    <t>18-169-4027</t>
  </si>
  <si>
    <t>Matrix Spike</t>
  </si>
  <si>
    <t>Matrix Spike Duplicate</t>
  </si>
  <si>
    <t>% Recovery</t>
  </si>
  <si>
    <t>DBOFB Surrogate</t>
  </si>
  <si>
    <t>DCBP Surrogate</t>
  </si>
  <si>
    <t xml:space="preserve"> 5/9/2018</t>
  </si>
  <si>
    <t>chlorpyrifos, ng/g OC</t>
  </si>
  <si>
    <t>tefluthrin, ng/g OC</t>
  </si>
  <si>
    <t>bifenthrin, ng/g OC</t>
  </si>
  <si>
    <t>fenpropathrin, ng/g OC</t>
  </si>
  <si>
    <t>cyhalothrin, ng/g OC</t>
  </si>
  <si>
    <t>permethrin, ng/g OC</t>
  </si>
  <si>
    <t>cyfluthrin, ng/g OC</t>
  </si>
  <si>
    <t>cypermethrin, ng/g OC</t>
  </si>
  <si>
    <t>esfenvalerate, ng/g OC</t>
  </si>
  <si>
    <t>deltamethrin, ng/g OC</t>
  </si>
  <si>
    <t>Cyhalothrin</t>
  </si>
  <si>
    <t>Permethrin</t>
  </si>
  <si>
    <t>-</t>
  </si>
  <si>
    <t>Site and Sample name</t>
  </si>
  <si>
    <t>Chain of Custody Date</t>
  </si>
  <si>
    <t>Batch date</t>
  </si>
  <si>
    <t>OC report from Midwest Labs</t>
  </si>
  <si>
    <t>Site Name</t>
  </si>
  <si>
    <t>DBOFB, %Recovery</t>
  </si>
  <si>
    <t>Lipid Fraction</t>
  </si>
  <si>
    <t>Wet weight of sample, g</t>
  </si>
  <si>
    <t>DBOFB Surrogate, % Recovery</t>
  </si>
  <si>
    <t>DCBP Surrogate, %Recovery</t>
  </si>
  <si>
    <t>Number of individuals in sample</t>
  </si>
  <si>
    <t>1/24/2018 and  5/9/2018</t>
  </si>
  <si>
    <t>Batch(es)</t>
  </si>
  <si>
    <t xml:space="preserve">Cyfluthrin </t>
  </si>
  <si>
    <t xml:space="preserve">Cypermethrin </t>
  </si>
  <si>
    <t>Recovery Surrogates</t>
  </si>
  <si>
    <t>Analytes</t>
  </si>
  <si>
    <t xml:space="preserve">Bifenthrin </t>
  </si>
  <si>
    <t>DBOFB = dibromooctafluorobiphenyl</t>
  </si>
  <si>
    <t>DCBP = decachlorobiphenyl</t>
  </si>
  <si>
    <t>RPD = relative percent difference</t>
  </si>
  <si>
    <t>Abbreviations:</t>
  </si>
  <si>
    <t>Abbreviations</t>
  </si>
  <si>
    <t>OC = organic carbon</t>
  </si>
  <si>
    <t>na= not analyzed</t>
  </si>
  <si>
    <t>method detection limit, ng/g on a dry weight basis</t>
  </si>
  <si>
    <t>nd = no compound was detected above the method detection limit</t>
  </si>
  <si>
    <t>BRL= compound was below the method reporting limit</t>
  </si>
  <si>
    <t>method reporting limit, ng/g on a dry weight basis</t>
  </si>
  <si>
    <t>method detection limit, ng/g lipid</t>
  </si>
  <si>
    <t>method reporting limit, ng/g lipid</t>
  </si>
  <si>
    <t>Coordinates</t>
  </si>
  <si>
    <t>Sample site name</t>
  </si>
  <si>
    <t>Bear Creek at Thornton Road</t>
  </si>
  <si>
    <t>Morrison Creek at Ann Arbor Way</t>
  </si>
  <si>
    <t>Morrison Creek at Franklin Boulevard</t>
  </si>
  <si>
    <t>Ulatis Creek at Brown Road</t>
  </si>
  <si>
    <t>38.0284, -121.3459</t>
  </si>
  <si>
    <t>38.0431, -121.3485</t>
  </si>
  <si>
    <t>38.4690, -121.4632</t>
  </si>
  <si>
    <t>38.4916, -121.4567</t>
  </si>
  <si>
    <t>38.3068, -121.7941</t>
  </si>
  <si>
    <t>Bear Creek at Thornton Road (field duplicate)</t>
  </si>
  <si>
    <t>Ulatis Creek at Brown Road (field duplicate)</t>
  </si>
  <si>
    <t>Mosher Slough at Don Avenue</t>
  </si>
  <si>
    <t>Title:</t>
  </si>
  <si>
    <t>Author:</t>
  </si>
  <si>
    <t>Description:</t>
  </si>
  <si>
    <t>Date Created:</t>
  </si>
  <si>
    <t>File Format:</t>
  </si>
  <si>
    <t>File Size:</t>
  </si>
  <si>
    <t>Geographic Coverage:</t>
  </si>
  <si>
    <t>Scientific names:</t>
  </si>
  <si>
    <t>Keywords:</t>
  </si>
  <si>
    <t>Related Content:</t>
  </si>
  <si>
    <t>California, United States</t>
  </si>
  <si>
    <t>Hyalella azteca</t>
  </si>
  <si>
    <t>Kara E. Huff Hartz, Donald P. Weston, Nadhirah Johanif, Helen C. Poynton, Richard E. Connon, and Michael J. Lydy</t>
  </si>
  <si>
    <t>https://doi.org/10.1007/s10646-021-02361-1</t>
  </si>
  <si>
    <r>
      <t xml:space="preserve">pyrethroid, genetic resistance, bioaccumulation, </t>
    </r>
    <r>
      <rPr>
        <i/>
        <sz val="11"/>
        <color theme="1"/>
        <rFont val="Calibri"/>
        <family val="2"/>
        <scheme val="minor"/>
      </rPr>
      <t>Hyalella azteca</t>
    </r>
  </si>
  <si>
    <t>Excel (.xlsx)</t>
  </si>
  <si>
    <t>Rep</t>
  </si>
  <si>
    <t>test tube weight</t>
  </si>
  <si>
    <t>hyalella + tube</t>
  </si>
  <si>
    <t>hyalella weight (g)</t>
  </si>
  <si>
    <t>hyalella weight (mg)</t>
  </si>
  <si>
    <t>hyalella weight (ug)</t>
  </si>
  <si>
    <t>individual hyalella weight (ug)</t>
  </si>
  <si>
    <t>5:1 DIL</t>
  </si>
  <si>
    <t>absorbance</t>
  </si>
  <si>
    <t>ug lipid</t>
  </si>
  <si>
    <t>% lipid</t>
  </si>
  <si>
    <t>Average</t>
  </si>
  <si>
    <t>Standard Deviation</t>
  </si>
  <si>
    <t>Bear Creek</t>
  </si>
  <si>
    <t>HCS Mass</t>
  </si>
  <si>
    <t>(Don Weston Masses, 5/9/18 Batch sheet)</t>
  </si>
  <si>
    <t>%lipid</t>
  </si>
  <si>
    <t>DW masses</t>
  </si>
  <si>
    <t>NA</t>
  </si>
  <si>
    <t>Morrison</t>
  </si>
  <si>
    <t>a= 0.00000033</t>
  </si>
  <si>
    <t>b= 0.004842</t>
  </si>
  <si>
    <t>c= 0.0219553</t>
  </si>
  <si>
    <t>Ulatis</t>
  </si>
  <si>
    <t xml:space="preserve">Prop 8/14/2018 BATCH SHEET </t>
  </si>
  <si>
    <t>No. Hyallela</t>
  </si>
  <si>
    <t>5:1 DIL ABSORBANCE RUN 1</t>
  </si>
  <si>
    <t>5:1 DIL ABSORBANCE RUN 2</t>
  </si>
  <si>
    <t>MEAN  Ulatis</t>
  </si>
  <si>
    <t>MEAN Bear</t>
  </si>
  <si>
    <t>Sample Blank</t>
  </si>
  <si>
    <t>ABSORBANCE</t>
  </si>
  <si>
    <t>STANDARDS</t>
  </si>
  <si>
    <t>run 1</t>
  </si>
  <si>
    <t>run 2</t>
  </si>
  <si>
    <t>S10-1</t>
  </si>
  <si>
    <t>S10-2</t>
  </si>
  <si>
    <t>S10-3</t>
  </si>
  <si>
    <t>S50-1</t>
  </si>
  <si>
    <t>S50-2</t>
  </si>
  <si>
    <t>S50-3</t>
  </si>
  <si>
    <t>S100-1</t>
  </si>
  <si>
    <t>S100-2</t>
  </si>
  <si>
    <t>S100-3</t>
  </si>
  <si>
    <t>S200-1</t>
  </si>
  <si>
    <t>S200-2</t>
  </si>
  <si>
    <t>S200-3</t>
  </si>
  <si>
    <t>S400-1</t>
  </si>
  <si>
    <t>S400-2</t>
  </si>
  <si>
    <t>S400-3</t>
  </si>
  <si>
    <t xml:space="preserve">a </t>
  </si>
  <si>
    <t>b</t>
  </si>
  <si>
    <t>c</t>
  </si>
  <si>
    <t>Notes</t>
  </si>
  <si>
    <t>none</t>
  </si>
  <si>
    <t>Batch Sheet  5/9/2018</t>
  </si>
  <si>
    <t>Number of Hyalella</t>
  </si>
  <si>
    <t>RSD</t>
  </si>
  <si>
    <t>Batch Sheet 12/17/2018</t>
  </si>
  <si>
    <t>Not enough sample for lipid analysis, used average lipid value from Ulatis and Bear Creek samples collected same date</t>
  </si>
  <si>
    <t>absorbance (Undiluted)</t>
  </si>
  <si>
    <t>Ulatis L1</t>
  </si>
  <si>
    <t>Bear L1</t>
  </si>
  <si>
    <t>Bear L2</t>
  </si>
  <si>
    <t>Bear L3</t>
  </si>
  <si>
    <t>Bear L4</t>
  </si>
  <si>
    <t>Bear L5</t>
  </si>
  <si>
    <t>Calibration curve</t>
  </si>
  <si>
    <t xml:space="preserve">Sample </t>
  </si>
  <si>
    <t>Average % lipid</t>
  </si>
  <si>
    <t xml:space="preserve">Bear </t>
  </si>
  <si>
    <t xml:space="preserve">  </t>
  </si>
  <si>
    <t>Batch Sheet 2/20/19</t>
  </si>
  <si>
    <r>
      <t xml:space="preserve">1) </t>
    </r>
    <r>
      <rPr>
        <b/>
        <sz val="11"/>
        <color theme="1"/>
        <rFont val="Calibri"/>
        <family val="2"/>
        <scheme val="minor"/>
      </rPr>
      <t>Site Locations</t>
    </r>
    <r>
      <rPr>
        <sz val="11"/>
        <color theme="1"/>
        <rFont val="Calibri"/>
        <family val="2"/>
        <scheme val="minor"/>
      </rPr>
      <t xml:space="preserve"> lists site names and coordinates.</t>
    </r>
  </si>
  <si>
    <t xml:space="preserve">Pyrethroid and chlorpyrifos concentrations measured in field-collected insecticide-resistant Hyalella azteca and accompanying sediment samples published in Huff Hartz et al. 2021 (doi: 10.1007/s10646-021-02361-1). Consists of six tabs of data. </t>
  </si>
  <si>
    <t>Not enough sample for lipid analysis</t>
  </si>
  <si>
    <r>
      <t xml:space="preserve">4) </t>
    </r>
    <r>
      <rPr>
        <b/>
        <sz val="11"/>
        <color theme="1"/>
        <rFont val="Calibri"/>
        <family val="2"/>
        <scheme val="minor"/>
      </rPr>
      <t>Sediment Insecticides</t>
    </r>
    <r>
      <rPr>
        <sz val="11"/>
        <color theme="1"/>
        <rFont val="Calibri"/>
        <family val="2"/>
        <scheme val="minor"/>
      </rPr>
      <t xml:space="preserve"> shows the sample dates, organic carbon content, surrogate recoveries, and concentrations of pyrethroids and chlorpyrifos measured in the sediment collected at each field site.</t>
    </r>
  </si>
  <si>
    <r>
      <t xml:space="preserve">5) </t>
    </r>
    <r>
      <rPr>
        <b/>
        <sz val="11"/>
        <color theme="1"/>
        <rFont val="Calibri"/>
        <family val="2"/>
        <scheme val="minor"/>
      </rPr>
      <t>Sediment QAQC</t>
    </r>
    <r>
      <rPr>
        <sz val="11"/>
        <color theme="1"/>
        <rFont val="Calibri"/>
        <family val="2"/>
        <scheme val="minor"/>
      </rPr>
      <t xml:space="preserve"> shows the analysis of quality assurance/quality control (QAQC) samples prepared with each batch of Hyalella tissue samples.</t>
    </r>
  </si>
  <si>
    <r>
      <t>2)</t>
    </r>
    <r>
      <rPr>
        <b/>
        <sz val="11"/>
        <color theme="1"/>
        <rFont val="Calibri"/>
        <family val="2"/>
        <scheme val="minor"/>
      </rPr>
      <t xml:space="preserve"> HA Insecticides</t>
    </r>
    <r>
      <rPr>
        <sz val="11"/>
        <color theme="1"/>
        <rFont val="Calibri"/>
        <family val="2"/>
        <scheme val="minor"/>
      </rPr>
      <t xml:space="preserve"> shows the sample dates, sample sizes, lipid content, surrogate recoveries, and concentrations of pyrethroids and chlorpyrifos measured in </t>
    </r>
    <r>
      <rPr>
        <i/>
        <sz val="11"/>
        <color theme="1"/>
        <rFont val="Calibri"/>
        <family val="2"/>
        <scheme val="minor"/>
      </rPr>
      <t>Hyalella azteca</t>
    </r>
    <r>
      <rPr>
        <sz val="11"/>
        <color theme="1"/>
        <rFont val="Calibri"/>
        <family val="2"/>
        <scheme val="minor"/>
      </rPr>
      <t xml:space="preserve"> tissue.</t>
    </r>
  </si>
  <si>
    <r>
      <t xml:space="preserve">3) </t>
    </r>
    <r>
      <rPr>
        <b/>
        <sz val="11"/>
        <color theme="1"/>
        <rFont val="Calibri"/>
        <family val="2"/>
        <scheme val="minor"/>
      </rPr>
      <t>HA QAQC</t>
    </r>
    <r>
      <rPr>
        <sz val="11"/>
        <color theme="1"/>
        <rFont val="Calibri"/>
        <family val="2"/>
        <scheme val="minor"/>
      </rPr>
      <t xml:space="preserve"> shows the analysis of quality assurance/quality control (QAQC) samples prepared with each batch of </t>
    </r>
    <r>
      <rPr>
        <i/>
        <sz val="11"/>
        <color theme="1"/>
        <rFont val="Calibri"/>
        <family val="2"/>
        <scheme val="minor"/>
      </rPr>
      <t>Hyalella azteca</t>
    </r>
    <r>
      <rPr>
        <sz val="11"/>
        <color theme="1"/>
        <rFont val="Calibri"/>
        <family val="2"/>
        <scheme val="minor"/>
      </rPr>
      <t xml:space="preserve"> tissue samples.</t>
    </r>
  </si>
  <si>
    <t>Calibration Curve</t>
  </si>
  <si>
    <t>Ulatis1</t>
  </si>
  <si>
    <t>Ulatis2</t>
  </si>
  <si>
    <t>Ulatis3</t>
  </si>
  <si>
    <t>Ulatis4</t>
  </si>
  <si>
    <t>Ulatis5</t>
  </si>
  <si>
    <t>Bear1</t>
  </si>
  <si>
    <t>Bear3</t>
  </si>
  <si>
    <t>Bear4</t>
  </si>
  <si>
    <t>Bear5</t>
  </si>
  <si>
    <t>Bear2</t>
  </si>
  <si>
    <t>standard deviation</t>
  </si>
  <si>
    <t>a=-0.000004</t>
  </si>
  <si>
    <t>b=.0058</t>
  </si>
  <si>
    <t>c=.0021</t>
  </si>
  <si>
    <t>average</t>
  </si>
  <si>
    <r>
      <t xml:space="preserve">6) </t>
    </r>
    <r>
      <rPr>
        <b/>
        <sz val="11"/>
        <color theme="1"/>
        <rFont val="Calibri"/>
        <family val="2"/>
        <scheme val="minor"/>
      </rPr>
      <t xml:space="preserve">Lipid Analysis </t>
    </r>
    <r>
      <rPr>
        <sz val="11"/>
        <color theme="1"/>
        <rFont val="Calibri"/>
        <family val="2"/>
        <scheme val="minor"/>
      </rPr>
      <t xml:space="preserve">shows the lipid analysis of the </t>
    </r>
    <r>
      <rPr>
        <i/>
        <sz val="11"/>
        <color theme="1"/>
        <rFont val="Calibri"/>
        <family val="2"/>
        <scheme val="minor"/>
      </rPr>
      <t>Hyalella azteca</t>
    </r>
    <r>
      <rPr>
        <sz val="11"/>
        <color theme="1"/>
        <rFont val="Calibri"/>
        <family val="2"/>
        <scheme val="minor"/>
      </rPr>
      <t xml:space="preserve"> tissue by absorbance detection.</t>
    </r>
  </si>
  <si>
    <t>ug lipid (5:1 Dilution)</t>
  </si>
  <si>
    <t>pre dilution absorbance</t>
  </si>
  <si>
    <t>Batch Sheet  1/24/2018</t>
  </si>
  <si>
    <t>Not enough sample for lipid analysis, used lipid value from Bear Creek sample collected same date</t>
  </si>
  <si>
    <t>73 kB</t>
  </si>
  <si>
    <r>
      <t>Pyrethroid Bioaccumulation in Field-collected Insecticide-resistant </t>
    </r>
    <r>
      <rPr>
        <i/>
        <sz val="11"/>
        <color theme="1"/>
        <rFont val="Calibri"/>
        <family val="2"/>
        <scheme val="minor"/>
      </rPr>
      <t>Hyalella azteca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</si>
</sst>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"/>
    <numFmt numFmtId="165" formatCode="0.000"/>
    <numFmt numFmtId="166" formatCode="0.0"/>
    <numFmt numFmtId="167" formatCode="0.0000"/>
    <numFmt numFmtId="168" formatCode="0.000%"/>
    <numFmt numFmtId="169" formatCode="0.00000"/>
  </numFmts>
  <fonts count="11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</cellStyleXfs>
  <cellXfs count="157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9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14" fontId="0" fillId="0" borderId="1" xfId="0" applyNumberFormat="1" applyBorder="1" applyAlignment="1">
      <alignment horizontal="center"/>
    </xf>
    <xf numFmtId="9" fontId="0" fillId="0" borderId="1" xfId="1" applyFont="1" applyBorder="1" applyAlignment="1">
      <alignment horizontal="center"/>
    </xf>
    <xf numFmtId="9" fontId="0" fillId="0" borderId="0" xfId="0" applyNumberFormat="1"/>
    <xf numFmtId="2" fontId="3" fillId="0" borderId="0" xfId="2" applyNumberFormat="1"/>
    <xf numFmtId="0" fontId="3" fillId="0" borderId="0" xfId="2"/>
    <xf numFmtId="2" fontId="3" fillId="0" borderId="0" xfId="2" applyNumberFormat="1" applyFont="1" applyFill="1" applyBorder="1"/>
    <xf numFmtId="0" fontId="3" fillId="0" borderId="0" xfId="2" applyFont="1" applyFill="1" applyBorder="1"/>
    <xf numFmtId="2" fontId="3" fillId="0" borderId="0" xfId="2" applyNumberFormat="1" applyAlignment="1">
      <alignment horizontal="center"/>
    </xf>
    <xf numFmtId="0" fontId="3" fillId="0" borderId="0" xfId="2" applyAlignment="1">
      <alignment horizontal="center"/>
    </xf>
    <xf numFmtId="2" fontId="3" fillId="0" borderId="0" xfId="2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9" fontId="3" fillId="0" borderId="0" xfId="1" applyFont="1" applyFill="1" applyBorder="1" applyAlignment="1">
      <alignment horizontal="center"/>
    </xf>
    <xf numFmtId="10" fontId="3" fillId="0" borderId="0" xfId="1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2" fontId="0" fillId="0" borderId="0" xfId="0" applyNumberFormat="1" applyBorder="1" applyAlignment="1">
      <alignment horizontal="center"/>
    </xf>
    <xf numFmtId="2" fontId="3" fillId="0" borderId="4" xfId="2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2" fontId="0" fillId="0" borderId="0" xfId="0" applyNumberForma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Fill="1" applyBorder="1" applyAlignment="1"/>
    <xf numFmtId="0" fontId="0" fillId="0" borderId="5" xfId="0" applyFill="1" applyBorder="1" applyAlignment="1"/>
    <xf numFmtId="0" fontId="1" fillId="0" borderId="6" xfId="0" applyFon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9" fontId="2" fillId="0" borderId="1" xfId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/>
    <xf numFmtId="0" fontId="0" fillId="0" borderId="0" xfId="0" applyBorder="1"/>
    <xf numFmtId="0" fontId="5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14" fontId="0" fillId="0" borderId="0" xfId="0" applyNumberFormat="1" applyBorder="1"/>
    <xf numFmtId="2" fontId="0" fillId="0" borderId="0" xfId="0" applyNumberFormat="1" applyBorder="1"/>
    <xf numFmtId="10" fontId="0" fillId="0" borderId="1" xfId="1" applyNumberFormat="1" applyFont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14" fontId="0" fillId="0" borderId="0" xfId="0" applyNumberFormat="1" applyFill="1" applyBorder="1"/>
    <xf numFmtId="14" fontId="0" fillId="0" borderId="0" xfId="0" applyNumberFormat="1" applyFill="1"/>
    <xf numFmtId="1" fontId="0" fillId="0" borderId="0" xfId="0" applyNumberFormat="1" applyFill="1" applyBorder="1" applyAlignment="1">
      <alignment horizontal="center"/>
    </xf>
    <xf numFmtId="10" fontId="0" fillId="0" borderId="1" xfId="1" applyNumberFormat="1" applyFont="1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66" fontId="0" fillId="0" borderId="1" xfId="0" applyNumberFormat="1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right"/>
    </xf>
    <xf numFmtId="165" fontId="0" fillId="0" borderId="0" xfId="0" applyNumberFormat="1" applyFont="1" applyFill="1" applyBorder="1" applyAlignment="1">
      <alignment horizontal="center"/>
    </xf>
    <xf numFmtId="165" fontId="0" fillId="0" borderId="0" xfId="0" applyNumberFormat="1" applyFont="1" applyFill="1" applyBorder="1"/>
    <xf numFmtId="0" fontId="0" fillId="0" borderId="0" xfId="0" applyFont="1" applyFill="1" applyBorder="1"/>
    <xf numFmtId="0" fontId="0" fillId="0" borderId="1" xfId="0" applyFont="1" applyBorder="1" applyAlignment="1">
      <alignment wrapText="1"/>
    </xf>
    <xf numFmtId="167" fontId="0" fillId="0" borderId="1" xfId="0" applyNumberFormat="1" applyFont="1" applyBorder="1" applyAlignment="1">
      <alignment horizontal="center"/>
    </xf>
    <xf numFmtId="10" fontId="0" fillId="0" borderId="1" xfId="0" applyNumberFormat="1" applyFont="1" applyBorder="1"/>
    <xf numFmtId="9" fontId="6" fillId="0" borderId="1" xfId="2" applyNumberFormat="1" applyFont="1" applyBorder="1" applyAlignment="1">
      <alignment horizontal="center"/>
    </xf>
    <xf numFmtId="1" fontId="6" fillId="0" borderId="1" xfId="2" applyNumberFormat="1" applyFont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10" fontId="6" fillId="0" borderId="1" xfId="1" applyNumberFormat="1" applyFont="1" applyBorder="1" applyAlignment="1">
      <alignment horizontal="center"/>
    </xf>
    <xf numFmtId="166" fontId="6" fillId="0" borderId="1" xfId="2" applyNumberFormat="1" applyFont="1" applyBorder="1" applyAlignment="1">
      <alignment horizontal="center"/>
    </xf>
    <xf numFmtId="2" fontId="6" fillId="0" borderId="1" xfId="2" applyNumberFormat="1" applyFont="1" applyFill="1" applyBorder="1" applyAlignment="1">
      <alignment horizontal="right"/>
    </xf>
    <xf numFmtId="166" fontId="6" fillId="0" borderId="1" xfId="2" applyNumberFormat="1" applyFont="1" applyFill="1" applyBorder="1" applyAlignment="1">
      <alignment horizontal="center"/>
    </xf>
    <xf numFmtId="10" fontId="6" fillId="0" borderId="0" xfId="1" applyNumberFormat="1" applyFont="1" applyAlignment="1">
      <alignment horizontal="center"/>
    </xf>
    <xf numFmtId="0" fontId="6" fillId="0" borderId="0" xfId="2" applyFont="1"/>
    <xf numFmtId="10" fontId="6" fillId="0" borderId="0" xfId="1" applyNumberFormat="1" applyFont="1" applyFill="1" applyBorder="1" applyAlignment="1">
      <alignment horizontal="center"/>
    </xf>
    <xf numFmtId="9" fontId="6" fillId="0" borderId="0" xfId="1" applyFont="1" applyFill="1" applyBorder="1" applyAlignment="1">
      <alignment horizontal="center"/>
    </xf>
    <xf numFmtId="9" fontId="6" fillId="0" borderId="1" xfId="1" applyFont="1" applyBorder="1" applyAlignment="1">
      <alignment horizontal="center" wrapText="1"/>
    </xf>
    <xf numFmtId="9" fontId="6" fillId="0" borderId="1" xfId="1" applyFont="1" applyBorder="1" applyAlignment="1">
      <alignment horizontal="center"/>
    </xf>
    <xf numFmtId="9" fontId="6" fillId="0" borderId="1" xfId="1" applyFont="1" applyFill="1" applyBorder="1" applyAlignment="1">
      <alignment horizontal="center"/>
    </xf>
    <xf numFmtId="9" fontId="6" fillId="0" borderId="0" xfId="1" applyFont="1" applyAlignment="1">
      <alignment horizontal="center"/>
    </xf>
    <xf numFmtId="2" fontId="6" fillId="0" borderId="0" xfId="2" applyNumberFormat="1" applyFont="1" applyFill="1" applyBorder="1" applyAlignment="1">
      <alignment horizontal="center"/>
    </xf>
    <xf numFmtId="0" fontId="6" fillId="0" borderId="0" xfId="2" applyFont="1" applyFill="1" applyBorder="1"/>
    <xf numFmtId="2" fontId="6" fillId="0" borderId="0" xfId="2" applyNumberFormat="1" applyFont="1" applyFill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/>
    <xf numFmtId="168" fontId="0" fillId="0" borderId="0" xfId="1" applyNumberFormat="1" applyFont="1"/>
    <xf numFmtId="168" fontId="0" fillId="0" borderId="0" xfId="0" applyNumberFormat="1" applyFill="1"/>
    <xf numFmtId="2" fontId="3" fillId="0" borderId="1" xfId="2" applyNumberFormat="1" applyFont="1" applyFill="1" applyBorder="1" applyAlignment="1">
      <alignment horizontal="center"/>
    </xf>
    <xf numFmtId="2" fontId="3" fillId="0" borderId="1" xfId="2" applyNumberFormat="1" applyFont="1" applyFill="1" applyBorder="1" applyAlignment="1">
      <alignment horizontal="left"/>
    </xf>
    <xf numFmtId="2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168" fontId="0" fillId="0" borderId="0" xfId="1" applyNumberFormat="1" applyFont="1" applyFill="1"/>
    <xf numFmtId="169" fontId="0" fillId="0" borderId="0" xfId="0" applyNumberFormat="1"/>
    <xf numFmtId="0" fontId="10" fillId="0" borderId="0" xfId="3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/>
    </xf>
    <xf numFmtId="168" fontId="0" fillId="0" borderId="0" xfId="1" applyNumberFormat="1" applyFont="1" applyFill="1" applyAlignment="1">
      <alignment horizontal="center"/>
    </xf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0" fontId="0" fillId="0" borderId="1" xfId="0" applyNumberFormat="1" applyFill="1" applyBorder="1" applyAlignment="1">
      <alignment horizontal="center"/>
    </xf>
    <xf numFmtId="168" fontId="0" fillId="0" borderId="1" xfId="1" applyNumberFormat="1" applyFont="1" applyFill="1" applyBorder="1" applyAlignment="1">
      <alignment horizontal="center"/>
    </xf>
    <xf numFmtId="2" fontId="0" fillId="0" borderId="1" xfId="1" applyNumberFormat="1" applyFont="1" applyFill="1" applyBorder="1" applyAlignment="1">
      <alignment horizontal="center"/>
    </xf>
    <xf numFmtId="0" fontId="9" fillId="0" borderId="3" xfId="0" applyFont="1" applyBorder="1"/>
    <xf numFmtId="0" fontId="0" fillId="0" borderId="3" xfId="0" applyBorder="1"/>
    <xf numFmtId="0" fontId="9" fillId="0" borderId="7" xfId="0" applyFont="1" applyBorder="1"/>
    <xf numFmtId="0" fontId="0" fillId="0" borderId="7" xfId="0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168" fontId="0" fillId="0" borderId="1" xfId="1" applyNumberFormat="1" applyFont="1" applyBorder="1" applyAlignment="1">
      <alignment horizontal="center"/>
    </xf>
    <xf numFmtId="168" fontId="9" fillId="0" borderId="1" xfId="0" applyNumberFormat="1" applyFont="1" applyFill="1" applyBorder="1" applyAlignment="1">
      <alignment horizontal="center"/>
    </xf>
    <xf numFmtId="10" fontId="9" fillId="0" borderId="1" xfId="0" applyNumberFormat="1" applyFont="1" applyFill="1" applyBorder="1" applyAlignment="1">
      <alignment horizontal="center"/>
    </xf>
    <xf numFmtId="168" fontId="9" fillId="0" borderId="1" xfId="1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5" xfId="0" applyBorder="1"/>
    <xf numFmtId="2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0" fontId="0" fillId="0" borderId="1" xfId="0" applyNumberFormat="1" applyBorder="1" applyAlignment="1">
      <alignment horizontal="center" wrapText="1"/>
    </xf>
    <xf numFmtId="10" fontId="0" fillId="0" borderId="1" xfId="0" applyNumberFormat="1" applyBorder="1" applyAlignment="1">
      <alignment horizontal="center"/>
    </xf>
    <xf numFmtId="168" fontId="0" fillId="0" borderId="1" xfId="0" applyNumberFormat="1" applyFill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3" xfId="0" applyFill="1" applyBorder="1"/>
    <xf numFmtId="0" fontId="0" fillId="0" borderId="7" xfId="0" applyFill="1" applyBorder="1"/>
    <xf numFmtId="168" fontId="0" fillId="0" borderId="1" xfId="0" applyNumberFormat="1" applyBorder="1" applyAlignment="1">
      <alignment horizontal="center"/>
    </xf>
    <xf numFmtId="0" fontId="9" fillId="0" borderId="10" xfId="0" applyFont="1" applyBorder="1"/>
  </cellXfs>
  <cellStyles count="4">
    <cellStyle name="Hyperlink" xfId="3" builtinId="8"/>
    <cellStyle name="Normal" xfId="0" builtinId="0"/>
    <cellStyle name="Normal 2" xfId="2" xr:uid="{00000000-0005-0000-0000-00000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816014410896865E-2"/>
          <c:y val="9.4203075130648475E-2"/>
          <c:w val="0.90819268801799002"/>
          <c:h val="0.7297413520013461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1.1053514755294207E-4"/>
                  <c:y val="-4.5397899015447982E-2"/>
                </c:manualLayout>
              </c:layout>
              <c:numFmt formatCode="#,##0.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'Lipid Analysis'!$U$63:$U$77</c:f>
              <c:numCache>
                <c:formatCode>General</c:formatCode>
                <c:ptCount val="15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  <c:pt idx="12">
                  <c:v>400</c:v>
                </c:pt>
                <c:pt idx="13">
                  <c:v>400</c:v>
                </c:pt>
                <c:pt idx="14">
                  <c:v>400</c:v>
                </c:pt>
              </c:numCache>
            </c:numRef>
          </c:xVal>
          <c:yVal>
            <c:numRef>
              <c:f>'Lipid Analysis'!$Y$63:$Y$77</c:f>
              <c:numCache>
                <c:formatCode>General</c:formatCode>
                <c:ptCount val="15"/>
                <c:pt idx="0">
                  <c:v>5.1999999999999998E-2</c:v>
                </c:pt>
                <c:pt idx="1">
                  <c:v>6.8000000000000005E-2</c:v>
                </c:pt>
                <c:pt idx="2">
                  <c:v>5.8999999999999997E-2</c:v>
                </c:pt>
                <c:pt idx="3">
                  <c:v>0.32900000000000001</c:v>
                </c:pt>
                <c:pt idx="4">
                  <c:v>0.32350000000000001</c:v>
                </c:pt>
                <c:pt idx="5">
                  <c:v>0.3745</c:v>
                </c:pt>
                <c:pt idx="6">
                  <c:v>0.71050000000000002</c:v>
                </c:pt>
                <c:pt idx="7">
                  <c:v>0.63100000000000001</c:v>
                </c:pt>
                <c:pt idx="8">
                  <c:v>0.82650000000000001</c:v>
                </c:pt>
                <c:pt idx="9">
                  <c:v>0.84</c:v>
                </c:pt>
                <c:pt idx="10">
                  <c:v>1.052</c:v>
                </c:pt>
                <c:pt idx="11">
                  <c:v>1.4489999999999998</c:v>
                </c:pt>
                <c:pt idx="12">
                  <c:v>1.9495</c:v>
                </c:pt>
                <c:pt idx="13">
                  <c:v>1.9435</c:v>
                </c:pt>
                <c:pt idx="14">
                  <c:v>2.2774999999999999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85-4384-95BD-992B68B01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0512592"/>
        <c:axId val="470509968"/>
      </c:scatterChart>
      <c:valAx>
        <c:axId val="47051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509968"/>
        <c:crosses val="autoZero"/>
        <c:crossBetween val="midCat"/>
      </c:valAx>
      <c:valAx>
        <c:axId val="47050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5125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87033322879"/>
          <c:y val="0.169086651053864"/>
          <c:w val="0.846368929804171"/>
          <c:h val="0.72225635729960003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25139577625000298"/>
                  <c:y val="-2.24274157627328E-2"/>
                </c:manualLayout>
              </c:layout>
              <c:numFmt formatCode="#,##0.0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'Lipid Analysis'!$R$109:$R$123</c:f>
              <c:numCache>
                <c:formatCode>General</c:formatCode>
                <c:ptCount val="15"/>
                <c:pt idx="0">
                  <c:v>400</c:v>
                </c:pt>
                <c:pt idx="1">
                  <c:v>200</c:v>
                </c:pt>
                <c:pt idx="2">
                  <c:v>100</c:v>
                </c:pt>
                <c:pt idx="3">
                  <c:v>50</c:v>
                </c:pt>
                <c:pt idx="4">
                  <c:v>10</c:v>
                </c:pt>
                <c:pt idx="5">
                  <c:v>400</c:v>
                </c:pt>
                <c:pt idx="6">
                  <c:v>200</c:v>
                </c:pt>
                <c:pt idx="7">
                  <c:v>100</c:v>
                </c:pt>
                <c:pt idx="8">
                  <c:v>50</c:v>
                </c:pt>
                <c:pt idx="9">
                  <c:v>10</c:v>
                </c:pt>
                <c:pt idx="10">
                  <c:v>400</c:v>
                </c:pt>
                <c:pt idx="11">
                  <c:v>200</c:v>
                </c:pt>
                <c:pt idx="12">
                  <c:v>100</c:v>
                </c:pt>
                <c:pt idx="13">
                  <c:v>50</c:v>
                </c:pt>
                <c:pt idx="14">
                  <c:v>10</c:v>
                </c:pt>
              </c:numCache>
            </c:numRef>
          </c:xVal>
          <c:yVal>
            <c:numRef>
              <c:f>'Lipid Analysis'!$S$109:$S$123</c:f>
              <c:numCache>
                <c:formatCode>General</c:formatCode>
                <c:ptCount val="15"/>
                <c:pt idx="0">
                  <c:v>1.91</c:v>
                </c:pt>
                <c:pt idx="1">
                  <c:v>1.0920000000000001</c:v>
                </c:pt>
                <c:pt idx="2">
                  <c:v>0.65500000000000003</c:v>
                </c:pt>
                <c:pt idx="3">
                  <c:v>0.33600000000000002</c:v>
                </c:pt>
                <c:pt idx="4">
                  <c:v>6.4000000000000001E-2</c:v>
                </c:pt>
                <c:pt idx="5">
                  <c:v>2.0019999999999998</c:v>
                </c:pt>
                <c:pt idx="6">
                  <c:v>1.089</c:v>
                </c:pt>
                <c:pt idx="7">
                  <c:v>0.61099999999999999</c:v>
                </c:pt>
                <c:pt idx="8">
                  <c:v>0.315</c:v>
                </c:pt>
                <c:pt idx="9">
                  <c:v>6.8000000000000005E-2</c:v>
                </c:pt>
                <c:pt idx="10">
                  <c:v>1.909</c:v>
                </c:pt>
                <c:pt idx="11">
                  <c:v>1.095</c:v>
                </c:pt>
                <c:pt idx="12">
                  <c:v>0.61699999999999999</c:v>
                </c:pt>
                <c:pt idx="13">
                  <c:v>0.312</c:v>
                </c:pt>
                <c:pt idx="14">
                  <c:v>7.0000000000000007E-2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7F2-4D30-81D8-CED2282FF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132912"/>
        <c:axId val="431130168"/>
      </c:scatterChart>
      <c:valAx>
        <c:axId val="431132912"/>
        <c:scaling>
          <c:orientation val="minMax"/>
          <c:max val="40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130168"/>
        <c:crosses val="autoZero"/>
        <c:crossBetween val="midCat"/>
      </c:valAx>
      <c:valAx>
        <c:axId val="431130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132912"/>
        <c:crosses val="autoZero"/>
        <c:crossBetween val="midCat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'Lipid Analysis'!$N$87:$N$101</c:f>
              <c:numCache>
                <c:formatCode>General</c:formatCode>
                <c:ptCount val="15"/>
                <c:pt idx="0">
                  <c:v>400</c:v>
                </c:pt>
                <c:pt idx="1">
                  <c:v>200</c:v>
                </c:pt>
                <c:pt idx="2">
                  <c:v>100</c:v>
                </c:pt>
                <c:pt idx="3">
                  <c:v>50</c:v>
                </c:pt>
                <c:pt idx="4">
                  <c:v>10</c:v>
                </c:pt>
                <c:pt idx="5">
                  <c:v>400</c:v>
                </c:pt>
                <c:pt idx="6">
                  <c:v>200</c:v>
                </c:pt>
                <c:pt idx="7">
                  <c:v>100</c:v>
                </c:pt>
                <c:pt idx="8">
                  <c:v>50</c:v>
                </c:pt>
                <c:pt idx="9">
                  <c:v>10</c:v>
                </c:pt>
                <c:pt idx="10">
                  <c:v>400</c:v>
                </c:pt>
                <c:pt idx="11">
                  <c:v>200</c:v>
                </c:pt>
                <c:pt idx="12">
                  <c:v>100</c:v>
                </c:pt>
                <c:pt idx="13">
                  <c:v>50</c:v>
                </c:pt>
                <c:pt idx="14">
                  <c:v>10</c:v>
                </c:pt>
              </c:numCache>
            </c:numRef>
          </c:xVal>
          <c:yVal>
            <c:numRef>
              <c:f>'Lipid Analysis'!$O$87:$O$101</c:f>
              <c:numCache>
                <c:formatCode>General</c:formatCode>
                <c:ptCount val="15"/>
                <c:pt idx="0">
                  <c:v>2.4969999999999999</c:v>
                </c:pt>
                <c:pt idx="1">
                  <c:v>0.93799999999999994</c:v>
                </c:pt>
                <c:pt idx="2">
                  <c:v>0.64100000000000001</c:v>
                </c:pt>
                <c:pt idx="3">
                  <c:v>0.34899999999999998</c:v>
                </c:pt>
                <c:pt idx="4">
                  <c:v>6.5000000000000002E-2</c:v>
                </c:pt>
                <c:pt idx="5">
                  <c:v>2.6150000000000002</c:v>
                </c:pt>
                <c:pt idx="6">
                  <c:v>1.3129999999999999</c:v>
                </c:pt>
                <c:pt idx="7">
                  <c:v>0.67</c:v>
                </c:pt>
                <c:pt idx="8">
                  <c:v>0.33400000000000002</c:v>
                </c:pt>
                <c:pt idx="9">
                  <c:v>7.6999999999999999E-2</c:v>
                </c:pt>
                <c:pt idx="10">
                  <c:v>2.41</c:v>
                </c:pt>
                <c:pt idx="11">
                  <c:v>1.3460000000000001</c:v>
                </c:pt>
                <c:pt idx="12">
                  <c:v>0.67300000000000004</c:v>
                </c:pt>
                <c:pt idx="13">
                  <c:v>0.35099999999999998</c:v>
                </c:pt>
                <c:pt idx="14">
                  <c:v>9.2999999999999999E-2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10-44D1-8F0E-4824B68CC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595008"/>
        <c:axId val="101596544"/>
      </c:scatterChart>
      <c:valAx>
        <c:axId val="101595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596544"/>
        <c:crosses val="autoZero"/>
        <c:crossBetween val="midCat"/>
      </c:valAx>
      <c:valAx>
        <c:axId val="101596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5950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'Lipid Analysis'!$P$6:$P$20</c:f>
              <c:numCache>
                <c:formatCode>General</c:formatCode>
                <c:ptCount val="15"/>
                <c:pt idx="0">
                  <c:v>400</c:v>
                </c:pt>
                <c:pt idx="1">
                  <c:v>200</c:v>
                </c:pt>
                <c:pt idx="2">
                  <c:v>100</c:v>
                </c:pt>
                <c:pt idx="3">
                  <c:v>50</c:v>
                </c:pt>
                <c:pt idx="4">
                  <c:v>10</c:v>
                </c:pt>
                <c:pt idx="5">
                  <c:v>400</c:v>
                </c:pt>
                <c:pt idx="6">
                  <c:v>200</c:v>
                </c:pt>
                <c:pt idx="7">
                  <c:v>100</c:v>
                </c:pt>
                <c:pt idx="8">
                  <c:v>50</c:v>
                </c:pt>
                <c:pt idx="9">
                  <c:v>10</c:v>
                </c:pt>
                <c:pt idx="10">
                  <c:v>400</c:v>
                </c:pt>
                <c:pt idx="11">
                  <c:v>200</c:v>
                </c:pt>
                <c:pt idx="12">
                  <c:v>100</c:v>
                </c:pt>
                <c:pt idx="13">
                  <c:v>50</c:v>
                </c:pt>
                <c:pt idx="14">
                  <c:v>10</c:v>
                </c:pt>
              </c:numCache>
            </c:numRef>
          </c:xVal>
          <c:yVal>
            <c:numRef>
              <c:f>'Lipid Analysis'!$Q$6:$Q$20</c:f>
              <c:numCache>
                <c:formatCode>General</c:formatCode>
                <c:ptCount val="15"/>
                <c:pt idx="0">
                  <c:v>1.867</c:v>
                </c:pt>
                <c:pt idx="1">
                  <c:v>0.95</c:v>
                </c:pt>
                <c:pt idx="2">
                  <c:v>0.47599999999999998</c:v>
                </c:pt>
                <c:pt idx="3">
                  <c:v>0.253</c:v>
                </c:pt>
                <c:pt idx="4">
                  <c:v>0.10199999999999999</c:v>
                </c:pt>
                <c:pt idx="5">
                  <c:v>1.448</c:v>
                </c:pt>
                <c:pt idx="6">
                  <c:v>1.1879999999999999</c:v>
                </c:pt>
                <c:pt idx="7">
                  <c:v>0.50900000000000001</c:v>
                </c:pt>
                <c:pt idx="8">
                  <c:v>0.26100000000000001</c:v>
                </c:pt>
                <c:pt idx="9">
                  <c:v>7.0999999999999994E-2</c:v>
                </c:pt>
                <c:pt idx="10">
                  <c:v>1.7310000000000001</c:v>
                </c:pt>
                <c:pt idx="11">
                  <c:v>0.94499999999999995</c:v>
                </c:pt>
                <c:pt idx="12">
                  <c:v>0.53200000000000003</c:v>
                </c:pt>
                <c:pt idx="13">
                  <c:v>0.27600000000000002</c:v>
                </c:pt>
                <c:pt idx="14">
                  <c:v>6.3E-2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00-4797-A5CA-04217036A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2657215"/>
        <c:axId val="631077599"/>
      </c:scatterChart>
      <c:valAx>
        <c:axId val="9426572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ug lipid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077599"/>
        <c:crosses val="autoZero"/>
        <c:crossBetween val="midCat"/>
      </c:valAx>
      <c:valAx>
        <c:axId val="631077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Absorbance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38036271507728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6572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'Lipid Analysis'!$S$31:$S$42</c:f>
              <c:numCache>
                <c:formatCode>General</c:formatCode>
                <c:ptCount val="12"/>
                <c:pt idx="0">
                  <c:v>200</c:v>
                </c:pt>
                <c:pt idx="1">
                  <c:v>100</c:v>
                </c:pt>
                <c:pt idx="2">
                  <c:v>50</c:v>
                </c:pt>
                <c:pt idx="3">
                  <c:v>10</c:v>
                </c:pt>
                <c:pt idx="4">
                  <c:v>200</c:v>
                </c:pt>
                <c:pt idx="5">
                  <c:v>100</c:v>
                </c:pt>
                <c:pt idx="6">
                  <c:v>50</c:v>
                </c:pt>
                <c:pt idx="7">
                  <c:v>10</c:v>
                </c:pt>
                <c:pt idx="8">
                  <c:v>200</c:v>
                </c:pt>
                <c:pt idx="9">
                  <c:v>100</c:v>
                </c:pt>
                <c:pt idx="10">
                  <c:v>50</c:v>
                </c:pt>
                <c:pt idx="11">
                  <c:v>10</c:v>
                </c:pt>
              </c:numCache>
            </c:numRef>
          </c:xVal>
          <c:yVal>
            <c:numRef>
              <c:f>'Lipid Analysis'!$T$31:$T$42</c:f>
              <c:numCache>
                <c:formatCode>General</c:formatCode>
                <c:ptCount val="12"/>
                <c:pt idx="0">
                  <c:v>1.0629999999999999</c:v>
                </c:pt>
                <c:pt idx="1">
                  <c:v>0.55900000000000005</c:v>
                </c:pt>
                <c:pt idx="2">
                  <c:v>0.308</c:v>
                </c:pt>
                <c:pt idx="3">
                  <c:v>6.0999999999999999E-2</c:v>
                </c:pt>
                <c:pt idx="4">
                  <c:v>1.1579999999999999</c:v>
                </c:pt>
                <c:pt idx="5">
                  <c:v>0.45400000000000001</c:v>
                </c:pt>
                <c:pt idx="6">
                  <c:v>0.32200000000000001</c:v>
                </c:pt>
                <c:pt idx="7">
                  <c:v>5.1999999999999998E-2</c:v>
                </c:pt>
                <c:pt idx="8">
                  <c:v>1.1539999999999999</c:v>
                </c:pt>
                <c:pt idx="9">
                  <c:v>0.55100000000000005</c:v>
                </c:pt>
                <c:pt idx="10">
                  <c:v>0.26700000000000002</c:v>
                </c:pt>
                <c:pt idx="11">
                  <c:v>6.4000000000000001E-2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C0-4950-A318-272CEACED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6361119"/>
        <c:axId val="947921103"/>
      </c:scatterChart>
      <c:valAx>
        <c:axId val="11163611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ug lipid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7921103"/>
        <c:crosses val="autoZero"/>
        <c:crossBetween val="midCat"/>
      </c:valAx>
      <c:valAx>
        <c:axId val="947921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absorbance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63611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553653</xdr:colOff>
      <xdr:row>60</xdr:row>
      <xdr:rowOff>88489</xdr:rowOff>
    </xdr:from>
    <xdr:to>
      <xdr:col>19</xdr:col>
      <xdr:colOff>587889</xdr:colOff>
      <xdr:row>79</xdr:row>
      <xdr:rowOff>73924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0821236-C107-4DEF-BE53-1C4F52A3F9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384821</xdr:colOff>
      <xdr:row>105</xdr:row>
      <xdr:rowOff>38100</xdr:rowOff>
    </xdr:from>
    <xdr:to>
      <xdr:col>16</xdr:col>
      <xdr:colOff>592418</xdr:colOff>
      <xdr:row>121</xdr:row>
      <xdr:rowOff>21815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8926EA1-14AB-4669-9963-5D1715788C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542925</xdr:colOff>
      <xdr:row>84</xdr:row>
      <xdr:rowOff>47625</xdr:rowOff>
    </xdr:from>
    <xdr:to>
      <xdr:col>23</xdr:col>
      <xdr:colOff>238125</xdr:colOff>
      <xdr:row>94</xdr:row>
      <xdr:rowOff>123825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B092ACE-8B7E-4952-AAE9-529882172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509587</xdr:colOff>
      <xdr:row>3</xdr:row>
      <xdr:rowOff>95250</xdr:rowOff>
    </xdr:from>
    <xdr:to>
      <xdr:col>26</xdr:col>
      <xdr:colOff>500062</xdr:colOff>
      <xdr:row>14</xdr:row>
      <xdr:rowOff>171450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DDA33D0-7E5F-421A-988B-35D4DB8D99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1119187</xdr:colOff>
      <xdr:row>42</xdr:row>
      <xdr:rowOff>76200</xdr:rowOff>
    </xdr:from>
    <xdr:to>
      <xdr:col>23</xdr:col>
      <xdr:colOff>423862</xdr:colOff>
      <xdr:row>53</xdr:row>
      <xdr:rowOff>152400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E3BCD0E-78D6-4831-9595-6E8AE6AA7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i.org/10.1007/s10646-021-02361-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EC38E-F87C-4533-B9B8-65F5E1B35429}">
  <dimension ref="A1:B16"/>
  <sheetViews>
    <sheetView tabSelected="1" workbookViewId="0">
      <selection activeCell="B16" sqref="B16"/>
    </sheetView>
  </sheetViews>
  <sheetFormatPr defaultRowHeight="15" x14ac:dyDescent="0.25"/>
  <cols>
    <col min="1" max="1" width="23.28515625" customWidth="1"/>
  </cols>
  <sheetData>
    <row r="1" spans="1:2" x14ac:dyDescent="0.25">
      <c r="A1" t="s">
        <v>95</v>
      </c>
      <c r="B1" t="s">
        <v>213</v>
      </c>
    </row>
    <row r="2" spans="1:2" x14ac:dyDescent="0.25">
      <c r="A2" t="s">
        <v>96</v>
      </c>
      <c r="B2" t="s">
        <v>107</v>
      </c>
    </row>
    <row r="3" spans="1:2" x14ac:dyDescent="0.25">
      <c r="A3" t="s">
        <v>97</v>
      </c>
      <c r="B3" t="s">
        <v>185</v>
      </c>
    </row>
    <row r="4" spans="1:2" x14ac:dyDescent="0.25">
      <c r="B4" t="s">
        <v>184</v>
      </c>
    </row>
    <row r="5" spans="1:2" x14ac:dyDescent="0.25">
      <c r="B5" t="s">
        <v>189</v>
      </c>
    </row>
    <row r="6" spans="1:2" x14ac:dyDescent="0.25">
      <c r="B6" t="s">
        <v>190</v>
      </c>
    </row>
    <row r="7" spans="1:2" x14ac:dyDescent="0.25">
      <c r="B7" t="s">
        <v>187</v>
      </c>
    </row>
    <row r="8" spans="1:2" x14ac:dyDescent="0.25">
      <c r="B8" t="s">
        <v>188</v>
      </c>
    </row>
    <row r="9" spans="1:2" x14ac:dyDescent="0.25">
      <c r="B9" t="s">
        <v>207</v>
      </c>
    </row>
    <row r="10" spans="1:2" x14ac:dyDescent="0.25">
      <c r="A10" t="s">
        <v>98</v>
      </c>
      <c r="B10">
        <v>2021</v>
      </c>
    </row>
    <row r="11" spans="1:2" x14ac:dyDescent="0.25">
      <c r="A11" t="s">
        <v>99</v>
      </c>
      <c r="B11" t="s">
        <v>110</v>
      </c>
    </row>
    <row r="12" spans="1:2" x14ac:dyDescent="0.25">
      <c r="A12" t="s">
        <v>100</v>
      </c>
      <c r="B12" t="s">
        <v>212</v>
      </c>
    </row>
    <row r="13" spans="1:2" x14ac:dyDescent="0.25">
      <c r="A13" t="s">
        <v>101</v>
      </c>
      <c r="B13" t="s">
        <v>105</v>
      </c>
    </row>
    <row r="14" spans="1:2" x14ac:dyDescent="0.25">
      <c r="A14" t="s">
        <v>102</v>
      </c>
      <c r="B14" s="104" t="s">
        <v>106</v>
      </c>
    </row>
    <row r="15" spans="1:2" x14ac:dyDescent="0.25">
      <c r="A15" t="s">
        <v>103</v>
      </c>
      <c r="B15" t="s">
        <v>109</v>
      </c>
    </row>
    <row r="16" spans="1:2" x14ac:dyDescent="0.25">
      <c r="A16" t="s">
        <v>104</v>
      </c>
      <c r="B16" s="114" t="s">
        <v>108</v>
      </c>
    </row>
  </sheetData>
  <hyperlinks>
    <hyperlink ref="B16" r:id="rId1" xr:uid="{1CFE3ACD-0A17-4D7A-985E-D32C004F2DEA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38A23-2B7C-4B56-829D-2B31019A2811}">
  <dimension ref="A1:B6"/>
  <sheetViews>
    <sheetView workbookViewId="0">
      <selection activeCell="A2" sqref="A2"/>
    </sheetView>
  </sheetViews>
  <sheetFormatPr defaultRowHeight="15" x14ac:dyDescent="0.25"/>
  <cols>
    <col min="1" max="1" width="37" customWidth="1"/>
    <col min="2" max="2" width="22.42578125" customWidth="1"/>
  </cols>
  <sheetData>
    <row r="1" spans="1:2" x14ac:dyDescent="0.25">
      <c r="A1" s="59" t="s">
        <v>82</v>
      </c>
      <c r="B1" s="59" t="s">
        <v>81</v>
      </c>
    </row>
    <row r="2" spans="1:2" ht="15.75" x14ac:dyDescent="0.25">
      <c r="A2" s="96" t="s">
        <v>94</v>
      </c>
      <c r="B2" s="97" t="s">
        <v>87</v>
      </c>
    </row>
    <row r="3" spans="1:2" ht="15.75" x14ac:dyDescent="0.25">
      <c r="A3" s="97" t="s">
        <v>83</v>
      </c>
      <c r="B3" s="98" t="s">
        <v>88</v>
      </c>
    </row>
    <row r="4" spans="1:2" ht="15.75" x14ac:dyDescent="0.25">
      <c r="A4" s="59" t="s">
        <v>84</v>
      </c>
      <c r="B4" s="97" t="s">
        <v>89</v>
      </c>
    </row>
    <row r="5" spans="1:2" ht="15.75" x14ac:dyDescent="0.25">
      <c r="A5" s="59" t="s">
        <v>85</v>
      </c>
      <c r="B5" s="96" t="s">
        <v>90</v>
      </c>
    </row>
    <row r="6" spans="1:2" ht="15.75" x14ac:dyDescent="0.25">
      <c r="A6" s="59" t="s">
        <v>86</v>
      </c>
      <c r="B6" s="97" t="s">
        <v>91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52"/>
  <sheetViews>
    <sheetView workbookViewId="0">
      <selection activeCell="P31" sqref="P31"/>
    </sheetView>
  </sheetViews>
  <sheetFormatPr defaultRowHeight="15" x14ac:dyDescent="0.25"/>
  <cols>
    <col min="1" max="1" width="44.140625" customWidth="1"/>
    <col min="2" max="2" width="10.7109375" customWidth="1"/>
    <col min="3" max="3" width="11.140625" customWidth="1"/>
    <col min="4" max="4" width="10.85546875" customWidth="1"/>
    <col min="5" max="5" width="18" customWidth="1"/>
    <col min="6" max="6" width="11.5703125" customWidth="1"/>
    <col min="7" max="8" width="14.42578125" customWidth="1"/>
    <col min="9" max="11" width="12" customWidth="1"/>
    <col min="12" max="12" width="14.140625" customWidth="1"/>
    <col min="13" max="15" width="12" customWidth="1"/>
    <col min="16" max="18" width="13.85546875" customWidth="1"/>
    <col min="19" max="19" width="101.28515625" customWidth="1"/>
    <col min="20" max="31" width="12" customWidth="1"/>
    <col min="37" max="37" width="24" customWidth="1"/>
    <col min="38" max="43" width="17.140625" customWidth="1"/>
    <col min="44" max="44" width="16.85546875" customWidth="1"/>
  </cols>
  <sheetData>
    <row r="1" spans="1:47" ht="59.25" customHeight="1" x14ac:dyDescent="0.25">
      <c r="A1" s="75" t="s">
        <v>50</v>
      </c>
      <c r="B1" s="58" t="s">
        <v>0</v>
      </c>
      <c r="C1" s="58" t="s">
        <v>51</v>
      </c>
      <c r="D1" s="58" t="s">
        <v>60</v>
      </c>
      <c r="E1" s="58" t="s">
        <v>57</v>
      </c>
      <c r="F1" s="58" t="s">
        <v>56</v>
      </c>
      <c r="G1" s="58" t="s">
        <v>58</v>
      </c>
      <c r="H1" s="58" t="s">
        <v>59</v>
      </c>
      <c r="I1" s="58" t="s">
        <v>16</v>
      </c>
      <c r="J1" s="58" t="s">
        <v>17</v>
      </c>
      <c r="K1" s="58" t="s">
        <v>18</v>
      </c>
      <c r="L1" s="58" t="s">
        <v>25</v>
      </c>
      <c r="M1" s="58" t="s">
        <v>19</v>
      </c>
      <c r="N1" s="58" t="s">
        <v>20</v>
      </c>
      <c r="O1" s="58" t="s">
        <v>21</v>
      </c>
      <c r="P1" s="58" t="s">
        <v>22</v>
      </c>
      <c r="Q1" s="58" t="s">
        <v>23</v>
      </c>
      <c r="R1" s="58" t="s">
        <v>24</v>
      </c>
      <c r="S1" s="3" t="s">
        <v>164</v>
      </c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L1" s="7"/>
      <c r="AM1" s="11"/>
      <c r="AN1" s="11"/>
      <c r="AO1" s="11"/>
      <c r="AP1" s="11"/>
      <c r="AQ1" s="11"/>
      <c r="AR1" s="11"/>
      <c r="AS1" s="11"/>
      <c r="AT1" s="11"/>
      <c r="AU1" s="11"/>
    </row>
    <row r="2" spans="1:47" ht="15.75" x14ac:dyDescent="0.25">
      <c r="A2" s="100" t="s">
        <v>83</v>
      </c>
      <c r="B2" s="60">
        <v>43119</v>
      </c>
      <c r="C2" s="60">
        <v>43124</v>
      </c>
      <c r="D2" s="59">
        <v>100</v>
      </c>
      <c r="E2" s="59">
        <v>0.183</v>
      </c>
      <c r="F2" s="50">
        <v>1.6740923580299875E-2</v>
      </c>
      <c r="G2" s="78">
        <v>0.99284009546539376</v>
      </c>
      <c r="H2" s="78">
        <v>0.88274044795783935</v>
      </c>
      <c r="I2" s="79">
        <v>263.7429485457933</v>
      </c>
      <c r="J2" s="79" t="s">
        <v>13</v>
      </c>
      <c r="K2" s="79">
        <v>812.77220529582337</v>
      </c>
      <c r="L2" s="79" t="s">
        <v>13</v>
      </c>
      <c r="M2" s="79" t="s">
        <v>13</v>
      </c>
      <c r="N2" s="79" t="s">
        <v>13</v>
      </c>
      <c r="O2" s="79" t="s">
        <v>13</v>
      </c>
      <c r="P2" s="79" t="s">
        <v>13</v>
      </c>
      <c r="Q2" s="79" t="s">
        <v>13</v>
      </c>
      <c r="R2" s="79" t="s">
        <v>13</v>
      </c>
      <c r="S2" s="107" t="s">
        <v>165</v>
      </c>
      <c r="T2" s="21"/>
      <c r="U2" s="21"/>
      <c r="V2" s="21"/>
      <c r="W2" s="22"/>
      <c r="X2" s="22"/>
      <c r="Y2" s="21"/>
      <c r="Z2" s="21"/>
      <c r="AA2" s="21"/>
      <c r="AB2" s="21"/>
      <c r="AC2" s="22"/>
      <c r="AD2" s="21"/>
      <c r="AE2" s="21"/>
      <c r="AF2" s="21"/>
      <c r="AM2" s="10"/>
      <c r="AN2" s="10"/>
      <c r="AO2" s="10"/>
      <c r="AP2" s="10"/>
      <c r="AQ2" s="10"/>
      <c r="AR2" s="10"/>
      <c r="AS2" s="19"/>
    </row>
    <row r="3" spans="1:47" ht="15.75" x14ac:dyDescent="0.25">
      <c r="A3" s="99" t="s">
        <v>94</v>
      </c>
      <c r="B3" s="60">
        <v>43119</v>
      </c>
      <c r="C3" s="60">
        <v>43124</v>
      </c>
      <c r="D3" s="59">
        <v>100</v>
      </c>
      <c r="E3" s="59">
        <v>0.1898</v>
      </c>
      <c r="F3" s="50">
        <v>1.6740923580299875E-2</v>
      </c>
      <c r="G3" s="78">
        <v>0.83054892601431984</v>
      </c>
      <c r="H3" s="78">
        <v>0.8432147562582345</v>
      </c>
      <c r="I3" s="79">
        <v>213.38017740059075</v>
      </c>
      <c r="J3" s="79" t="s">
        <v>13</v>
      </c>
      <c r="K3" s="79">
        <v>416.68931397991469</v>
      </c>
      <c r="L3" s="79" t="s">
        <v>13</v>
      </c>
      <c r="M3" s="79" t="s">
        <v>13</v>
      </c>
      <c r="N3" s="80">
        <v>189.46145545008204</v>
      </c>
      <c r="O3" s="79" t="s">
        <v>13</v>
      </c>
      <c r="P3" s="79" t="s">
        <v>13</v>
      </c>
      <c r="Q3" s="79" t="s">
        <v>13</v>
      </c>
      <c r="R3" s="79" t="s">
        <v>13</v>
      </c>
      <c r="S3" s="107" t="s">
        <v>211</v>
      </c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9"/>
      <c r="AM3" s="10"/>
      <c r="AN3" s="10"/>
      <c r="AO3" s="10"/>
      <c r="AP3" s="10"/>
      <c r="AQ3" s="10"/>
      <c r="AR3" s="10"/>
      <c r="AS3" s="19"/>
    </row>
    <row r="4" spans="1:47" ht="15.75" x14ac:dyDescent="0.25">
      <c r="A4" s="100" t="s">
        <v>83</v>
      </c>
      <c r="B4" s="60">
        <v>43222</v>
      </c>
      <c r="C4" s="60">
        <v>43229</v>
      </c>
      <c r="D4" s="59">
        <v>163</v>
      </c>
      <c r="E4" s="59">
        <v>0.23899999999999999</v>
      </c>
      <c r="F4" s="81">
        <v>1.1747779546103277E-2</v>
      </c>
      <c r="G4" s="78">
        <v>0.91389755828896646</v>
      </c>
      <c r="H4" s="78">
        <v>0.91392182696530522</v>
      </c>
      <c r="I4" s="79" t="s">
        <v>13</v>
      </c>
      <c r="J4" s="79" t="s">
        <v>13</v>
      </c>
      <c r="K4" s="79">
        <v>116.10847233289429</v>
      </c>
      <c r="L4" s="79" t="s">
        <v>13</v>
      </c>
      <c r="M4" s="79" t="s">
        <v>13</v>
      </c>
      <c r="N4" s="79" t="s">
        <v>13</v>
      </c>
      <c r="O4" s="79" t="s">
        <v>13</v>
      </c>
      <c r="P4" s="79" t="s">
        <v>13</v>
      </c>
      <c r="Q4" s="79" t="s">
        <v>13</v>
      </c>
      <c r="R4" s="79" t="s">
        <v>13</v>
      </c>
      <c r="S4" s="107" t="s">
        <v>165</v>
      </c>
      <c r="T4" s="21"/>
      <c r="U4" s="21"/>
      <c r="V4" s="21"/>
      <c r="W4" s="23"/>
      <c r="X4" s="21"/>
      <c r="Y4" s="21"/>
      <c r="Z4" s="21"/>
      <c r="AA4" s="21"/>
      <c r="AB4" s="21"/>
      <c r="AC4" s="21"/>
      <c r="AD4" s="21"/>
      <c r="AE4" s="21"/>
      <c r="AF4" s="9"/>
      <c r="AM4" s="10"/>
      <c r="AN4" s="10"/>
      <c r="AO4" s="10"/>
      <c r="AP4" s="10"/>
      <c r="AQ4" s="10"/>
      <c r="AR4" s="10"/>
      <c r="AS4" s="19"/>
    </row>
    <row r="5" spans="1:47" x14ac:dyDescent="0.25">
      <c r="A5" s="101" t="s">
        <v>84</v>
      </c>
      <c r="B5" s="60">
        <v>43222</v>
      </c>
      <c r="C5" s="60">
        <v>43229</v>
      </c>
      <c r="D5" s="59">
        <v>47</v>
      </c>
      <c r="E5" s="59">
        <v>0.1043</v>
      </c>
      <c r="F5" s="81">
        <v>1.220432228227269E-2</v>
      </c>
      <c r="G5" s="78">
        <v>0.87681292454562143</v>
      </c>
      <c r="H5" s="78">
        <v>0.89942907334211686</v>
      </c>
      <c r="I5" s="79" t="s">
        <v>13</v>
      </c>
      <c r="J5" s="79" t="s">
        <v>13</v>
      </c>
      <c r="K5" s="79">
        <v>179.11702649157377</v>
      </c>
      <c r="L5" s="79" t="s">
        <v>13</v>
      </c>
      <c r="M5" s="79" t="s">
        <v>13</v>
      </c>
      <c r="N5" s="79" t="s">
        <v>13</v>
      </c>
      <c r="O5" s="79" t="s">
        <v>13</v>
      </c>
      <c r="P5" s="79" t="s">
        <v>13</v>
      </c>
      <c r="Q5" s="79" t="s">
        <v>13</v>
      </c>
      <c r="R5" s="79" t="s">
        <v>13</v>
      </c>
      <c r="S5" s="107" t="s">
        <v>165</v>
      </c>
      <c r="T5" s="21"/>
      <c r="U5" s="21"/>
      <c r="V5" s="21"/>
      <c r="W5" s="22"/>
      <c r="X5" s="22"/>
      <c r="Y5" s="21"/>
      <c r="Z5" s="21"/>
      <c r="AA5" s="21"/>
      <c r="AB5" s="21"/>
      <c r="AC5" s="22"/>
      <c r="AD5" s="21"/>
      <c r="AE5" s="21"/>
      <c r="AF5" s="21"/>
      <c r="AM5" s="10"/>
      <c r="AN5" s="10"/>
      <c r="AO5" s="10"/>
      <c r="AP5" s="10"/>
      <c r="AQ5" s="10"/>
      <c r="AR5" s="10"/>
      <c r="AS5" s="19"/>
    </row>
    <row r="6" spans="1:47" x14ac:dyDescent="0.25">
      <c r="A6" s="101" t="s">
        <v>85</v>
      </c>
      <c r="B6" s="60">
        <v>43222</v>
      </c>
      <c r="C6" s="60">
        <v>43229</v>
      </c>
      <c r="D6" s="59">
        <v>110</v>
      </c>
      <c r="E6" s="59">
        <v>0.36130000000000001</v>
      </c>
      <c r="F6" s="81">
        <v>1.220432228227269E-2</v>
      </c>
      <c r="G6" s="78">
        <v>0.97558288966403528</v>
      </c>
      <c r="H6" s="78">
        <v>0.86912604303908647</v>
      </c>
      <c r="I6" s="79" t="s">
        <v>13</v>
      </c>
      <c r="J6" s="79" t="s">
        <v>13</v>
      </c>
      <c r="K6" s="79">
        <v>107.04351692195314</v>
      </c>
      <c r="L6" s="79" t="s">
        <v>13</v>
      </c>
      <c r="M6" s="79" t="s">
        <v>13</v>
      </c>
      <c r="N6" s="79">
        <v>1059.5493878376378</v>
      </c>
      <c r="O6" s="79" t="s">
        <v>13</v>
      </c>
      <c r="P6" s="79" t="s">
        <v>13</v>
      </c>
      <c r="Q6" s="79" t="s">
        <v>13</v>
      </c>
      <c r="R6" s="79" t="s">
        <v>13</v>
      </c>
      <c r="S6" s="107" t="s">
        <v>165</v>
      </c>
      <c r="T6" s="21"/>
      <c r="U6" s="21"/>
      <c r="V6" s="21"/>
      <c r="W6" s="23"/>
      <c r="X6" s="21"/>
      <c r="Y6" s="21"/>
      <c r="Z6" s="21"/>
      <c r="AA6" s="21"/>
      <c r="AB6" s="21"/>
      <c r="AC6" s="21"/>
      <c r="AD6" s="21"/>
      <c r="AE6" s="21"/>
      <c r="AF6" s="9"/>
      <c r="AM6" s="10"/>
      <c r="AN6" s="10"/>
      <c r="AO6" s="10"/>
      <c r="AP6" s="10"/>
      <c r="AQ6" s="10"/>
      <c r="AR6" s="10"/>
      <c r="AS6" s="19"/>
    </row>
    <row r="7" spans="1:47" x14ac:dyDescent="0.25">
      <c r="A7" s="101" t="s">
        <v>86</v>
      </c>
      <c r="B7" s="60">
        <v>43222</v>
      </c>
      <c r="C7" s="60">
        <v>43229</v>
      </c>
      <c r="D7" s="59">
        <v>150</v>
      </c>
      <c r="E7" s="59">
        <v>0.3881</v>
      </c>
      <c r="F7" s="81">
        <v>1.3520511641824934E-2</v>
      </c>
      <c r="G7" s="78">
        <v>1.0387369194051772</v>
      </c>
      <c r="H7" s="78">
        <v>0.92050944224857278</v>
      </c>
      <c r="I7" s="79" t="s">
        <v>13</v>
      </c>
      <c r="J7" s="79" t="s">
        <v>13</v>
      </c>
      <c r="K7" s="82" t="s">
        <v>15</v>
      </c>
      <c r="L7" s="79" t="s">
        <v>13</v>
      </c>
      <c r="M7" s="79" t="s">
        <v>13</v>
      </c>
      <c r="N7" s="79" t="s">
        <v>13</v>
      </c>
      <c r="O7" s="79" t="s">
        <v>13</v>
      </c>
      <c r="P7" s="79" t="s">
        <v>13</v>
      </c>
      <c r="Q7" s="79" t="s">
        <v>13</v>
      </c>
      <c r="R7" s="79" t="s">
        <v>13</v>
      </c>
      <c r="S7" s="107" t="s">
        <v>165</v>
      </c>
      <c r="T7" s="21"/>
      <c r="U7" s="21"/>
      <c r="V7" s="21"/>
      <c r="W7" s="22"/>
      <c r="X7" s="22"/>
      <c r="Y7" s="21"/>
      <c r="Z7" s="21"/>
      <c r="AA7" s="21"/>
      <c r="AB7" s="21"/>
      <c r="AC7" s="22"/>
      <c r="AD7" s="21"/>
      <c r="AE7" s="21"/>
      <c r="AF7" s="21"/>
      <c r="AM7" s="10"/>
      <c r="AN7" s="10"/>
      <c r="AO7" s="10"/>
      <c r="AP7" s="10"/>
      <c r="AQ7" s="10"/>
      <c r="AR7" s="10"/>
      <c r="AS7" s="19"/>
    </row>
    <row r="8" spans="1:47" ht="15.75" x14ac:dyDescent="0.25">
      <c r="A8" s="100" t="s">
        <v>83</v>
      </c>
      <c r="B8" s="60">
        <v>43313</v>
      </c>
      <c r="C8" s="60">
        <v>43326</v>
      </c>
      <c r="D8" s="59">
        <v>156</v>
      </c>
      <c r="E8" s="59">
        <v>0.20710000000000001</v>
      </c>
      <c r="F8" s="81">
        <v>7.5749693832284429E-3</v>
      </c>
      <c r="G8" s="78">
        <v>0.73267326732673266</v>
      </c>
      <c r="H8" s="78">
        <v>0.91468307033966312</v>
      </c>
      <c r="I8" s="79" t="s">
        <v>13</v>
      </c>
      <c r="J8" s="79" t="s">
        <v>13</v>
      </c>
      <c r="K8" s="82">
        <v>70.118352672712774</v>
      </c>
      <c r="L8" s="79" t="s">
        <v>13</v>
      </c>
      <c r="M8" s="79" t="s">
        <v>13</v>
      </c>
      <c r="N8" s="79" t="s">
        <v>13</v>
      </c>
      <c r="O8" s="79" t="s">
        <v>13</v>
      </c>
      <c r="P8" s="79" t="s">
        <v>13</v>
      </c>
      <c r="Q8" s="79" t="s">
        <v>13</v>
      </c>
      <c r="R8" s="79" t="s">
        <v>13</v>
      </c>
      <c r="S8" s="107" t="s">
        <v>165</v>
      </c>
      <c r="T8" s="21"/>
      <c r="U8" s="21"/>
      <c r="V8" s="21"/>
      <c r="W8" s="22"/>
      <c r="X8" s="22"/>
      <c r="Y8" s="21"/>
      <c r="Z8" s="21"/>
      <c r="AA8" s="21"/>
      <c r="AB8" s="21"/>
      <c r="AC8" s="22"/>
      <c r="AD8" s="21"/>
      <c r="AE8" s="21"/>
      <c r="AF8" s="21"/>
      <c r="AM8" s="10"/>
      <c r="AN8" s="10"/>
      <c r="AO8" s="10"/>
      <c r="AP8" s="10"/>
      <c r="AQ8" s="10"/>
      <c r="AR8" s="10"/>
      <c r="AS8" s="19"/>
    </row>
    <row r="9" spans="1:47" ht="15.75" x14ac:dyDescent="0.25">
      <c r="A9" s="100" t="s">
        <v>92</v>
      </c>
      <c r="B9" s="60">
        <v>43313</v>
      </c>
      <c r="C9" s="60">
        <v>43326</v>
      </c>
      <c r="D9" s="59">
        <v>80</v>
      </c>
      <c r="E9" s="59">
        <v>0.1978</v>
      </c>
      <c r="F9" s="81">
        <v>7.5749693832284429E-3</v>
      </c>
      <c r="G9" s="78">
        <v>0.77938563087077939</v>
      </c>
      <c r="H9" s="78">
        <v>1.0296870821075155</v>
      </c>
      <c r="I9" s="79" t="s">
        <v>13</v>
      </c>
      <c r="J9" s="79" t="s">
        <v>13</v>
      </c>
      <c r="K9" s="82">
        <v>58.73209641463626</v>
      </c>
      <c r="L9" s="79" t="s">
        <v>13</v>
      </c>
      <c r="M9" s="79" t="s">
        <v>13</v>
      </c>
      <c r="N9" s="79" t="s">
        <v>13</v>
      </c>
      <c r="O9" s="79" t="s">
        <v>13</v>
      </c>
      <c r="P9" s="79" t="s">
        <v>13</v>
      </c>
      <c r="Q9" s="79" t="s">
        <v>13</v>
      </c>
      <c r="R9" s="79" t="s">
        <v>13</v>
      </c>
      <c r="S9" s="107" t="s">
        <v>165</v>
      </c>
      <c r="T9" s="21"/>
      <c r="U9" s="21"/>
      <c r="V9" s="21"/>
      <c r="W9" s="22"/>
      <c r="X9" s="22"/>
      <c r="Y9" s="21"/>
      <c r="Z9" s="21"/>
      <c r="AA9" s="21"/>
      <c r="AB9" s="21"/>
      <c r="AC9" s="22"/>
      <c r="AD9" s="21"/>
      <c r="AE9" s="21"/>
      <c r="AF9" s="21"/>
      <c r="AM9" s="10"/>
      <c r="AN9" s="10"/>
      <c r="AO9" s="10"/>
      <c r="AP9" s="10"/>
      <c r="AQ9" s="10"/>
      <c r="AR9" s="10"/>
      <c r="AS9" s="19"/>
    </row>
    <row r="10" spans="1:47" x14ac:dyDescent="0.25">
      <c r="A10" s="101" t="s">
        <v>85</v>
      </c>
      <c r="B10" s="60">
        <v>43313</v>
      </c>
      <c r="C10" s="60">
        <v>43326</v>
      </c>
      <c r="D10" s="59">
        <v>60</v>
      </c>
      <c r="E10" s="59">
        <v>0.1163</v>
      </c>
      <c r="F10" s="81">
        <f>AVERAGE(F9,F11)</f>
        <v>8.8569688868451978E-3</v>
      </c>
      <c r="G10" s="78">
        <v>0.74689007362274695</v>
      </c>
      <c r="H10" s="78">
        <v>0.93126504412944633</v>
      </c>
      <c r="I10" s="79" t="s">
        <v>13</v>
      </c>
      <c r="J10" s="79" t="s">
        <v>13</v>
      </c>
      <c r="K10" s="82" t="s">
        <v>15</v>
      </c>
      <c r="L10" s="79" t="s">
        <v>13</v>
      </c>
      <c r="M10" s="79" t="s">
        <v>15</v>
      </c>
      <c r="N10" s="79" t="s">
        <v>13</v>
      </c>
      <c r="O10" s="79" t="s">
        <v>13</v>
      </c>
      <c r="P10" s="79" t="s">
        <v>13</v>
      </c>
      <c r="Q10" s="79" t="s">
        <v>13</v>
      </c>
      <c r="R10" s="79" t="s">
        <v>13</v>
      </c>
      <c r="S10" s="108" t="s">
        <v>170</v>
      </c>
      <c r="T10" s="21"/>
      <c r="U10" s="21"/>
      <c r="V10" s="21"/>
      <c r="W10" s="22"/>
      <c r="X10" s="21"/>
      <c r="Y10" s="21"/>
      <c r="Z10" s="21"/>
      <c r="AA10" s="21"/>
      <c r="AB10" s="21"/>
      <c r="AC10" s="22"/>
      <c r="AD10" s="21"/>
      <c r="AE10" s="21"/>
      <c r="AF10" s="21"/>
      <c r="AM10" s="10"/>
      <c r="AN10" s="10"/>
      <c r="AO10" s="10"/>
      <c r="AP10" s="10"/>
      <c r="AQ10" s="10"/>
      <c r="AR10" s="10"/>
      <c r="AS10" s="19"/>
    </row>
    <row r="11" spans="1:47" x14ac:dyDescent="0.25">
      <c r="A11" s="101" t="s">
        <v>86</v>
      </c>
      <c r="B11" s="60">
        <v>43313</v>
      </c>
      <c r="C11" s="60">
        <v>43326</v>
      </c>
      <c r="D11" s="59">
        <v>100</v>
      </c>
      <c r="E11" s="59">
        <v>0.28860000000000002</v>
      </c>
      <c r="F11" s="81">
        <v>1.0138968390461954E-2</v>
      </c>
      <c r="G11" s="78">
        <v>0.83523736989083519</v>
      </c>
      <c r="H11" s="78">
        <v>0.9494517250601765</v>
      </c>
      <c r="I11" s="79" t="s">
        <v>13</v>
      </c>
      <c r="J11" s="79" t="s">
        <v>13</v>
      </c>
      <c r="K11" s="79" t="s">
        <v>15</v>
      </c>
      <c r="L11" s="79" t="s">
        <v>13</v>
      </c>
      <c r="M11" s="79">
        <v>245.71219628338179</v>
      </c>
      <c r="N11" s="79" t="s">
        <v>13</v>
      </c>
      <c r="O11" s="79" t="s">
        <v>13</v>
      </c>
      <c r="P11" s="79" t="s">
        <v>13</v>
      </c>
      <c r="Q11" s="79" t="s">
        <v>13</v>
      </c>
      <c r="R11" s="79" t="s">
        <v>13</v>
      </c>
      <c r="S11" s="107" t="s">
        <v>165</v>
      </c>
      <c r="T11" s="21"/>
      <c r="U11" s="21"/>
      <c r="V11" s="21"/>
      <c r="W11" s="21"/>
      <c r="X11" s="21"/>
      <c r="Y11" s="21"/>
      <c r="Z11" s="21"/>
      <c r="AA11" s="21"/>
      <c r="AB11" s="21"/>
      <c r="AC11" s="23"/>
      <c r="AD11" s="21"/>
      <c r="AE11" s="21"/>
      <c r="AF11" s="21"/>
      <c r="AM11" s="10"/>
      <c r="AN11" s="10"/>
      <c r="AO11" s="10"/>
      <c r="AP11" s="10"/>
      <c r="AQ11" s="10"/>
      <c r="AR11" s="10"/>
      <c r="AS11" s="19"/>
    </row>
    <row r="12" spans="1:47" x14ac:dyDescent="0.25">
      <c r="A12" s="101" t="s">
        <v>93</v>
      </c>
      <c r="B12" s="60">
        <v>43313</v>
      </c>
      <c r="C12" s="60">
        <v>43326</v>
      </c>
      <c r="D12" s="59">
        <v>50</v>
      </c>
      <c r="E12" s="59">
        <v>0.19409999999999999</v>
      </c>
      <c r="F12" s="81">
        <v>1.0138968390461954E-2</v>
      </c>
      <c r="G12" s="78">
        <v>0.75856816450875852</v>
      </c>
      <c r="H12" s="78">
        <v>0.93928857983418013</v>
      </c>
      <c r="I12" s="79" t="s">
        <v>13</v>
      </c>
      <c r="J12" s="79" t="s">
        <v>13</v>
      </c>
      <c r="K12" s="79" t="s">
        <v>15</v>
      </c>
      <c r="L12" s="79" t="s">
        <v>13</v>
      </c>
      <c r="M12" s="79">
        <v>236.79177455772674</v>
      </c>
      <c r="N12" s="79" t="s">
        <v>13</v>
      </c>
      <c r="O12" s="79" t="s">
        <v>13</v>
      </c>
      <c r="P12" s="79" t="s">
        <v>13</v>
      </c>
      <c r="Q12" s="79" t="s">
        <v>13</v>
      </c>
      <c r="R12" s="79" t="s">
        <v>13</v>
      </c>
      <c r="S12" s="107" t="s">
        <v>165</v>
      </c>
      <c r="T12" s="21"/>
      <c r="U12" s="21"/>
      <c r="V12" s="21"/>
      <c r="W12" s="22"/>
      <c r="X12" s="21"/>
      <c r="Y12" s="21"/>
      <c r="Z12" s="21"/>
      <c r="AA12" s="21"/>
      <c r="AB12" s="21"/>
      <c r="AC12" s="22"/>
      <c r="AD12" s="21"/>
      <c r="AE12" s="21"/>
      <c r="AF12" s="21"/>
      <c r="AM12" s="10"/>
      <c r="AN12" s="10"/>
      <c r="AO12" s="10"/>
      <c r="AP12" s="10"/>
      <c r="AQ12" s="10"/>
      <c r="AR12" s="10"/>
      <c r="AS12" s="19"/>
    </row>
    <row r="13" spans="1:47" ht="15.75" x14ac:dyDescent="0.25">
      <c r="A13" s="100" t="s">
        <v>83</v>
      </c>
      <c r="B13" s="60">
        <v>43429</v>
      </c>
      <c r="C13" s="60">
        <v>43451</v>
      </c>
      <c r="D13" s="59">
        <v>79</v>
      </c>
      <c r="E13" s="76">
        <v>0.1</v>
      </c>
      <c r="F13" s="50">
        <v>2.9264541954831254E-2</v>
      </c>
      <c r="G13" s="78">
        <v>0.81252857796067668</v>
      </c>
      <c r="H13" s="78">
        <v>0.89656899574254945</v>
      </c>
      <c r="I13" s="79">
        <v>364.03553999841728</v>
      </c>
      <c r="J13" s="79" t="s">
        <v>13</v>
      </c>
      <c r="K13" s="79">
        <v>351.27834961048774</v>
      </c>
      <c r="L13" s="79" t="s">
        <v>13</v>
      </c>
      <c r="M13" s="79" t="s">
        <v>15</v>
      </c>
      <c r="N13" s="79" t="s">
        <v>15</v>
      </c>
      <c r="O13" s="79" t="s">
        <v>15</v>
      </c>
      <c r="P13" s="79" t="s">
        <v>13</v>
      </c>
      <c r="Q13" s="79" t="s">
        <v>13</v>
      </c>
      <c r="R13" s="79" t="s">
        <v>13</v>
      </c>
      <c r="S13" s="107" t="s">
        <v>165</v>
      </c>
      <c r="T13" s="21"/>
      <c r="U13" s="21"/>
      <c r="V13" s="21"/>
      <c r="W13" s="22"/>
      <c r="X13" s="22"/>
      <c r="Y13" s="21"/>
      <c r="Z13" s="21"/>
      <c r="AA13" s="21"/>
      <c r="AB13" s="21"/>
      <c r="AC13" s="22"/>
      <c r="AD13" s="21"/>
      <c r="AE13" s="21"/>
      <c r="AF13" s="9"/>
      <c r="AM13" s="10"/>
      <c r="AN13" s="10"/>
      <c r="AO13" s="10"/>
      <c r="AP13" s="10"/>
      <c r="AQ13" s="10"/>
      <c r="AR13" s="10"/>
      <c r="AS13" s="19"/>
    </row>
    <row r="14" spans="1:47" x14ac:dyDescent="0.25">
      <c r="A14" s="101" t="s">
        <v>85</v>
      </c>
      <c r="B14" s="60">
        <v>43429</v>
      </c>
      <c r="C14" s="60">
        <v>43451</v>
      </c>
      <c r="D14" s="59">
        <v>9</v>
      </c>
      <c r="E14" s="59">
        <v>2.8899999999999999E-2</v>
      </c>
      <c r="F14" s="50" t="s">
        <v>10</v>
      </c>
      <c r="G14" s="78">
        <v>1.0210333790580703</v>
      </c>
      <c r="H14" s="78">
        <v>1.1249686952166291</v>
      </c>
      <c r="I14" s="79" t="s">
        <v>13</v>
      </c>
      <c r="J14" s="79" t="s">
        <v>13</v>
      </c>
      <c r="K14" s="79" t="s">
        <v>15</v>
      </c>
      <c r="L14" s="79" t="s">
        <v>13</v>
      </c>
      <c r="M14" s="79" t="s">
        <v>13</v>
      </c>
      <c r="N14" s="79" t="s">
        <v>13</v>
      </c>
      <c r="O14" s="79" t="s">
        <v>13</v>
      </c>
      <c r="P14" s="79" t="s">
        <v>13</v>
      </c>
      <c r="Q14" s="79" t="s">
        <v>13</v>
      </c>
      <c r="R14" s="79" t="s">
        <v>13</v>
      </c>
      <c r="S14" s="107" t="s">
        <v>186</v>
      </c>
      <c r="T14" s="21"/>
      <c r="U14" s="21"/>
      <c r="V14" s="21"/>
      <c r="W14" s="22"/>
      <c r="X14" s="22"/>
      <c r="Y14" s="21"/>
      <c r="Z14" s="21"/>
      <c r="AA14" s="21"/>
      <c r="AB14" s="21"/>
      <c r="AC14" s="22"/>
      <c r="AD14" s="21"/>
      <c r="AE14" s="21"/>
      <c r="AF14" s="21"/>
      <c r="AM14" s="10"/>
      <c r="AN14" s="10"/>
      <c r="AO14" s="10"/>
      <c r="AP14" s="10"/>
      <c r="AQ14" s="10"/>
      <c r="AR14" s="10"/>
      <c r="AS14" s="19"/>
    </row>
    <row r="15" spans="1:47" x14ac:dyDescent="0.25">
      <c r="A15" s="101" t="s">
        <v>86</v>
      </c>
      <c r="B15" s="60">
        <v>43429</v>
      </c>
      <c r="C15" s="60">
        <v>43451</v>
      </c>
      <c r="D15" s="59">
        <v>100</v>
      </c>
      <c r="E15" s="59">
        <v>0.15210000000000001</v>
      </c>
      <c r="F15" s="50">
        <v>2.2256667410877708E-2</v>
      </c>
      <c r="G15" s="78">
        <v>0.8692272519433013</v>
      </c>
      <c r="H15" s="78">
        <v>0.97170047583270713</v>
      </c>
      <c r="I15" s="79" t="s">
        <v>13</v>
      </c>
      <c r="J15" s="79" t="s">
        <v>13</v>
      </c>
      <c r="K15" s="82">
        <v>82.121230053277898</v>
      </c>
      <c r="L15" s="79" t="s">
        <v>13</v>
      </c>
      <c r="M15" s="79" t="s">
        <v>13</v>
      </c>
      <c r="N15" s="79" t="s">
        <v>13</v>
      </c>
      <c r="O15" s="79" t="s">
        <v>13</v>
      </c>
      <c r="P15" s="79" t="s">
        <v>13</v>
      </c>
      <c r="Q15" s="79" t="s">
        <v>13</v>
      </c>
      <c r="R15" s="79" t="s">
        <v>13</v>
      </c>
      <c r="S15" s="107" t="s">
        <v>165</v>
      </c>
      <c r="T15" s="21"/>
      <c r="U15" s="21"/>
      <c r="V15" s="21"/>
      <c r="W15" s="21"/>
      <c r="X15" s="21"/>
      <c r="Y15" s="21"/>
      <c r="Z15" s="21"/>
      <c r="AA15" s="21"/>
      <c r="AB15" s="21"/>
      <c r="AC15" s="22"/>
      <c r="AD15" s="21"/>
      <c r="AE15" s="21"/>
      <c r="AF15" s="21"/>
      <c r="AM15" s="10"/>
      <c r="AN15" s="10"/>
      <c r="AO15" s="10"/>
      <c r="AP15" s="10"/>
      <c r="AQ15" s="10"/>
      <c r="AR15" s="10"/>
      <c r="AS15" s="19"/>
    </row>
    <row r="16" spans="1:47" x14ac:dyDescent="0.25">
      <c r="A16" s="101" t="s">
        <v>93</v>
      </c>
      <c r="B16" s="60">
        <v>43429</v>
      </c>
      <c r="C16" s="60">
        <v>43451</v>
      </c>
      <c r="D16" s="59">
        <v>120</v>
      </c>
      <c r="E16" s="59">
        <v>0.1734</v>
      </c>
      <c r="F16" s="50">
        <v>2.2256667410877708E-2</v>
      </c>
      <c r="G16" s="78">
        <v>0.86785550983081849</v>
      </c>
      <c r="H16" s="78">
        <v>0.91510142749812173</v>
      </c>
      <c r="I16" s="79" t="s">
        <v>13</v>
      </c>
      <c r="J16" s="79" t="s">
        <v>13</v>
      </c>
      <c r="K16" s="82">
        <v>79.807092182169157</v>
      </c>
      <c r="L16" s="79" t="s">
        <v>13</v>
      </c>
      <c r="M16" s="79" t="s">
        <v>13</v>
      </c>
      <c r="N16" s="79" t="s">
        <v>13</v>
      </c>
      <c r="O16" s="79" t="s">
        <v>13</v>
      </c>
      <c r="P16" s="79" t="s">
        <v>13</v>
      </c>
      <c r="Q16" s="79" t="s">
        <v>13</v>
      </c>
      <c r="R16" s="79" t="s">
        <v>13</v>
      </c>
      <c r="S16" s="107" t="s">
        <v>165</v>
      </c>
      <c r="T16" s="21"/>
      <c r="U16" s="21"/>
      <c r="V16" s="21"/>
      <c r="W16" s="22"/>
      <c r="X16" s="23"/>
      <c r="Y16" s="21"/>
      <c r="Z16" s="21"/>
      <c r="AA16" s="21"/>
      <c r="AB16" s="21"/>
      <c r="AC16" s="22"/>
      <c r="AD16" s="21"/>
      <c r="AE16" s="21"/>
      <c r="AF16" s="21"/>
      <c r="AM16" s="10"/>
      <c r="AN16" s="10"/>
      <c r="AO16" s="10"/>
      <c r="AP16" s="10"/>
      <c r="AQ16" s="10"/>
      <c r="AR16" s="10"/>
      <c r="AS16" s="19"/>
    </row>
    <row r="17" spans="1:45" ht="15.75" x14ac:dyDescent="0.25">
      <c r="A17" s="100" t="s">
        <v>83</v>
      </c>
      <c r="B17" s="60">
        <v>43514</v>
      </c>
      <c r="C17" s="60">
        <v>43516</v>
      </c>
      <c r="D17" s="59">
        <v>100</v>
      </c>
      <c r="E17" s="59">
        <v>0.2218</v>
      </c>
      <c r="F17" s="50">
        <v>9.8795354498047386E-3</v>
      </c>
      <c r="G17" s="78">
        <v>0.96818041396354659</v>
      </c>
      <c r="H17" s="78">
        <v>1.2027420736932308</v>
      </c>
      <c r="I17" s="79" t="s">
        <v>13</v>
      </c>
      <c r="J17" s="79" t="s">
        <v>13</v>
      </c>
      <c r="K17" s="79">
        <v>680.88028205940998</v>
      </c>
      <c r="L17" s="79" t="s">
        <v>13</v>
      </c>
      <c r="M17" s="79" t="s">
        <v>13</v>
      </c>
      <c r="N17" s="79" t="s">
        <v>15</v>
      </c>
      <c r="O17" s="79" t="s">
        <v>13</v>
      </c>
      <c r="P17" s="79" t="s">
        <v>13</v>
      </c>
      <c r="Q17" s="79" t="s">
        <v>13</v>
      </c>
      <c r="R17" s="79" t="s">
        <v>13</v>
      </c>
      <c r="S17" s="107" t="s">
        <v>165</v>
      </c>
      <c r="T17" s="21"/>
      <c r="U17" s="21"/>
      <c r="V17" s="21"/>
      <c r="W17" s="22"/>
      <c r="X17" s="21"/>
      <c r="Y17" s="21"/>
      <c r="Z17" s="21"/>
      <c r="AA17" s="21"/>
      <c r="AB17" s="21"/>
      <c r="AC17" s="22"/>
      <c r="AD17" s="21"/>
      <c r="AE17" s="21"/>
      <c r="AF17" s="9"/>
      <c r="AM17" s="10"/>
      <c r="AN17" s="10"/>
      <c r="AO17" s="10"/>
      <c r="AP17" s="10"/>
      <c r="AQ17" s="10"/>
      <c r="AR17" s="10"/>
      <c r="AS17" s="19"/>
    </row>
    <row r="18" spans="1:45" ht="15.75" x14ac:dyDescent="0.25">
      <c r="A18" s="100" t="s">
        <v>92</v>
      </c>
      <c r="B18" s="60">
        <v>43514</v>
      </c>
      <c r="C18" s="60">
        <v>43516</v>
      </c>
      <c r="D18" s="59">
        <v>100</v>
      </c>
      <c r="E18" s="59">
        <v>0.2064</v>
      </c>
      <c r="F18" s="50">
        <v>9.8795354498047386E-3</v>
      </c>
      <c r="G18" s="78">
        <v>0.78714859437751017</v>
      </c>
      <c r="H18" s="78">
        <v>0.9316195372750643</v>
      </c>
      <c r="I18" s="79" t="s">
        <v>13</v>
      </c>
      <c r="J18" s="79" t="s">
        <v>13</v>
      </c>
      <c r="K18" s="79">
        <v>564.94512087079158</v>
      </c>
      <c r="L18" s="79" t="s">
        <v>13</v>
      </c>
      <c r="M18" s="79" t="s">
        <v>13</v>
      </c>
      <c r="N18" s="79" t="s">
        <v>15</v>
      </c>
      <c r="O18" s="79" t="s">
        <v>13</v>
      </c>
      <c r="P18" s="79" t="s">
        <v>13</v>
      </c>
      <c r="Q18" s="79" t="s">
        <v>13</v>
      </c>
      <c r="R18" s="79" t="s">
        <v>13</v>
      </c>
      <c r="S18" s="107" t="s">
        <v>165</v>
      </c>
      <c r="T18" s="21"/>
      <c r="U18" s="21"/>
      <c r="V18" s="21"/>
      <c r="W18" s="22"/>
      <c r="X18" s="21"/>
      <c r="Y18" s="21"/>
      <c r="Z18" s="21"/>
      <c r="AA18" s="21"/>
      <c r="AB18" s="21"/>
      <c r="AC18" s="23"/>
      <c r="AD18" s="21"/>
      <c r="AE18" s="21"/>
      <c r="AF18" s="9"/>
      <c r="AM18" s="10"/>
      <c r="AN18" s="10"/>
      <c r="AO18" s="10"/>
      <c r="AP18" s="10"/>
      <c r="AQ18" s="10"/>
      <c r="AR18" s="10"/>
      <c r="AS18" s="19"/>
    </row>
    <row r="19" spans="1:45" x14ac:dyDescent="0.25">
      <c r="A19" s="101" t="s">
        <v>86</v>
      </c>
      <c r="B19" s="60">
        <v>43514</v>
      </c>
      <c r="C19" s="60">
        <v>43516</v>
      </c>
      <c r="D19" s="59">
        <v>71</v>
      </c>
      <c r="E19" s="59">
        <v>0.2097</v>
      </c>
      <c r="F19" s="50">
        <v>7.7387421776391255E-3</v>
      </c>
      <c r="G19" s="78">
        <v>1.0197713932653691</v>
      </c>
      <c r="H19" s="78">
        <v>1.0131962296486718</v>
      </c>
      <c r="I19" s="79" t="s">
        <v>13</v>
      </c>
      <c r="J19" s="79" t="s">
        <v>13</v>
      </c>
      <c r="K19" s="79">
        <v>308.10673786550342</v>
      </c>
      <c r="L19" s="79" t="s">
        <v>13</v>
      </c>
      <c r="M19" s="79" t="s">
        <v>13</v>
      </c>
      <c r="N19" s="79" t="s">
        <v>13</v>
      </c>
      <c r="O19" s="79" t="s">
        <v>13</v>
      </c>
      <c r="P19" s="79" t="s">
        <v>13</v>
      </c>
      <c r="Q19" s="79" t="s">
        <v>13</v>
      </c>
      <c r="R19" s="79" t="s">
        <v>13</v>
      </c>
      <c r="S19" s="107" t="s">
        <v>165</v>
      </c>
      <c r="T19" s="21"/>
      <c r="U19" s="21"/>
      <c r="V19" s="21"/>
      <c r="W19" s="21"/>
      <c r="X19" s="21"/>
      <c r="Y19" s="21"/>
      <c r="Z19" s="21"/>
      <c r="AA19" s="21"/>
      <c r="AB19" s="21"/>
      <c r="AC19" s="22"/>
      <c r="AD19" s="21"/>
      <c r="AE19" s="21"/>
      <c r="AF19" s="21"/>
    </row>
    <row r="20" spans="1:45" x14ac:dyDescent="0.25">
      <c r="A20" s="69"/>
      <c r="B20" s="69"/>
      <c r="C20" s="69"/>
      <c r="D20" s="69"/>
      <c r="E20" s="69"/>
      <c r="F20" s="77"/>
      <c r="G20" s="57"/>
      <c r="H20" s="71" t="s">
        <v>79</v>
      </c>
      <c r="I20" s="63">
        <v>29.269092544775148</v>
      </c>
      <c r="J20" s="63">
        <v>30.339740601477729</v>
      </c>
      <c r="K20" s="63">
        <v>26.625026483016228</v>
      </c>
      <c r="L20" s="63">
        <v>25.345480342527704</v>
      </c>
      <c r="M20" s="63">
        <v>24.109165735890304</v>
      </c>
      <c r="N20" s="63">
        <v>76.23529343284055</v>
      </c>
      <c r="O20" s="63">
        <v>31.269764645664708</v>
      </c>
      <c r="P20" s="63">
        <v>34.289651284991706</v>
      </c>
      <c r="Q20" s="63">
        <v>26.799418564986926</v>
      </c>
      <c r="R20" s="63">
        <v>63.315895840452917</v>
      </c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</row>
    <row r="21" spans="1:45" x14ac:dyDescent="0.25">
      <c r="A21" s="69"/>
      <c r="B21" s="69"/>
      <c r="C21" s="69"/>
      <c r="D21" s="69"/>
      <c r="E21" s="69"/>
      <c r="F21" s="81"/>
      <c r="G21" s="57"/>
      <c r="H21" s="83" t="s">
        <v>80</v>
      </c>
      <c r="I21" s="84">
        <v>87.807277634325445</v>
      </c>
      <c r="J21" s="84">
        <v>91.019221804433201</v>
      </c>
      <c r="K21" s="84">
        <v>79.875079449048698</v>
      </c>
      <c r="L21" s="84">
        <v>76.036441027583109</v>
      </c>
      <c r="M21" s="84">
        <v>72.327497207670902</v>
      </c>
      <c r="N21" s="63">
        <v>228.70588029852166</v>
      </c>
      <c r="O21" s="63">
        <v>93.809293936994138</v>
      </c>
      <c r="P21" s="63">
        <v>102.8689538549751</v>
      </c>
      <c r="Q21" s="63">
        <v>80.398255694960767</v>
      </c>
      <c r="R21" s="63">
        <v>189.94768752135874</v>
      </c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</row>
    <row r="22" spans="1:45" x14ac:dyDescent="0.25">
      <c r="A22" s="69"/>
      <c r="B22" s="69"/>
      <c r="C22" s="69"/>
      <c r="D22" s="69"/>
      <c r="E22" s="70"/>
      <c r="F22" s="85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86"/>
      <c r="S22" s="19"/>
      <c r="T22" s="19"/>
      <c r="U22" s="19"/>
      <c r="V22" s="20"/>
      <c r="W22" s="20"/>
      <c r="X22" s="19"/>
      <c r="Y22" s="19"/>
      <c r="Z22" s="19"/>
      <c r="AA22" s="19"/>
      <c r="AB22" s="9"/>
      <c r="AC22" s="19"/>
      <c r="AD22" s="19"/>
      <c r="AE22" s="19"/>
      <c r="AF22" s="19"/>
      <c r="AG22" s="15"/>
      <c r="AH22" s="15"/>
      <c r="AI22" s="15"/>
      <c r="AJ22" s="15"/>
      <c r="AL22" s="42"/>
      <c r="AM22" s="42"/>
      <c r="AN22" s="42"/>
      <c r="AO22" s="42"/>
      <c r="AP22" s="42"/>
    </row>
    <row r="23" spans="1:45" x14ac:dyDescent="0.25">
      <c r="A23" s="69"/>
      <c r="B23" s="69"/>
      <c r="C23" s="69"/>
      <c r="D23" s="69"/>
      <c r="E23" s="70"/>
      <c r="F23" s="87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20"/>
      <c r="T23" s="9"/>
      <c r="U23" s="9"/>
      <c r="V23" s="20"/>
      <c r="W23" s="20"/>
      <c r="X23" s="19"/>
      <c r="Y23" s="19"/>
      <c r="Z23" s="19"/>
      <c r="AA23" s="19"/>
      <c r="AB23" s="9"/>
      <c r="AC23" s="19"/>
      <c r="AD23" s="19"/>
      <c r="AE23" s="19"/>
      <c r="AF23" s="19"/>
      <c r="AG23" s="15"/>
      <c r="AH23" s="15"/>
      <c r="AI23" s="15"/>
      <c r="AJ23" s="15"/>
      <c r="AL23" s="36"/>
      <c r="AM23" s="36"/>
      <c r="AN23" s="36"/>
      <c r="AO23" s="36"/>
      <c r="AP23" s="36"/>
    </row>
    <row r="24" spans="1:45" x14ac:dyDescent="0.25">
      <c r="F24" s="25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1"/>
      <c r="T24" s="9"/>
      <c r="U24" s="9"/>
      <c r="V24" s="20"/>
      <c r="W24" s="20"/>
      <c r="X24" s="19"/>
      <c r="Y24" s="19"/>
      <c r="Z24" s="19"/>
      <c r="AA24" s="19"/>
      <c r="AB24" s="9"/>
      <c r="AC24" s="19"/>
      <c r="AD24" s="19"/>
      <c r="AE24" s="19"/>
      <c r="AF24" s="19"/>
      <c r="AG24" s="15"/>
      <c r="AH24" s="15"/>
      <c r="AI24" s="15"/>
      <c r="AJ24" s="15"/>
      <c r="AL24" s="36"/>
      <c r="AM24" s="36"/>
      <c r="AN24" s="36"/>
      <c r="AO24" s="36"/>
      <c r="AP24" s="36"/>
    </row>
    <row r="25" spans="1:45" x14ac:dyDescent="0.25">
      <c r="R25" s="17"/>
      <c r="U25" s="16"/>
      <c r="V25" s="16"/>
      <c r="W25" s="15"/>
      <c r="X25" s="15"/>
      <c r="Y25" s="15"/>
      <c r="Z25" s="15"/>
      <c r="AB25" s="15"/>
      <c r="AC25" s="15"/>
      <c r="AD25" s="15"/>
      <c r="AE25" s="15"/>
      <c r="AF25" s="15"/>
      <c r="AG25" s="15"/>
      <c r="AH25" s="15"/>
      <c r="AI25" s="15"/>
      <c r="AK25" s="36"/>
      <c r="AL25" s="36"/>
      <c r="AM25" s="36"/>
      <c r="AN25" s="36"/>
      <c r="AO25" s="36"/>
    </row>
    <row r="26" spans="1:45" x14ac:dyDescent="0.25">
      <c r="R26" s="17"/>
      <c r="U26" s="16"/>
      <c r="V26" s="16"/>
      <c r="W26" s="15"/>
      <c r="X26" s="15"/>
      <c r="Y26" s="15"/>
      <c r="Z26" s="15"/>
      <c r="AB26" s="15"/>
      <c r="AC26" s="15"/>
      <c r="AD26" s="15"/>
      <c r="AE26" s="15"/>
      <c r="AF26" s="15"/>
      <c r="AG26" s="15"/>
      <c r="AH26" s="15"/>
      <c r="AI26" s="15"/>
      <c r="AK26" s="36"/>
      <c r="AL26" s="36"/>
      <c r="AM26" s="36"/>
      <c r="AN26" s="36"/>
      <c r="AO26" s="36"/>
    </row>
    <row r="27" spans="1:45" x14ac:dyDescent="0.25">
      <c r="R27" s="17"/>
      <c r="U27" s="16"/>
      <c r="V27" s="16"/>
      <c r="W27" s="15"/>
      <c r="X27" s="15"/>
      <c r="Y27" s="15"/>
      <c r="Z27" s="15"/>
      <c r="AB27" s="15"/>
      <c r="AC27" s="15"/>
      <c r="AD27" s="15"/>
      <c r="AE27" s="15"/>
      <c r="AF27" s="15"/>
      <c r="AG27" s="15"/>
      <c r="AH27" s="15"/>
      <c r="AI27" s="15"/>
      <c r="AK27" s="36"/>
      <c r="AL27" s="36"/>
      <c r="AM27" s="36"/>
      <c r="AN27" s="36"/>
      <c r="AO27" s="36"/>
    </row>
    <row r="28" spans="1:45" x14ac:dyDescent="0.25">
      <c r="U28" s="16"/>
      <c r="V28" s="16"/>
      <c r="W28" s="15"/>
      <c r="X28" s="15"/>
      <c r="Y28" s="15"/>
      <c r="Z28" s="15"/>
      <c r="AB28" s="15"/>
      <c r="AC28" s="15"/>
      <c r="AD28" s="15"/>
      <c r="AE28" s="15"/>
      <c r="AF28" s="15"/>
      <c r="AG28" s="15"/>
      <c r="AH28" s="15"/>
      <c r="AI28" s="15"/>
      <c r="AK28" s="36"/>
      <c r="AL28" s="36"/>
      <c r="AM28" s="36"/>
      <c r="AN28" s="36"/>
      <c r="AO28" s="36"/>
    </row>
    <row r="29" spans="1:45" x14ac:dyDescent="0.25">
      <c r="F29" s="35"/>
      <c r="U29" s="16"/>
      <c r="V29" s="16"/>
      <c r="W29" s="15"/>
      <c r="X29" s="15"/>
      <c r="Y29" s="15"/>
      <c r="Z29" s="15"/>
      <c r="AB29" s="15"/>
      <c r="AC29" s="15"/>
      <c r="AD29" s="15"/>
      <c r="AE29" s="15"/>
      <c r="AF29" s="15"/>
      <c r="AG29" s="15"/>
      <c r="AH29" s="15"/>
      <c r="AI29" s="15"/>
      <c r="AK29" s="36"/>
      <c r="AL29" s="36"/>
      <c r="AM29" s="36"/>
      <c r="AN29" s="36"/>
      <c r="AO29" s="36"/>
    </row>
    <row r="30" spans="1:45" x14ac:dyDescent="0.25">
      <c r="F30" s="35"/>
      <c r="U30" s="16"/>
      <c r="V30" s="16"/>
      <c r="W30" s="15"/>
      <c r="X30" s="15"/>
      <c r="Y30" s="15"/>
      <c r="Z30" s="15"/>
      <c r="AB30" s="15"/>
      <c r="AC30" s="15"/>
      <c r="AD30" s="15"/>
      <c r="AE30" s="15"/>
      <c r="AF30" s="15"/>
      <c r="AG30" s="15"/>
      <c r="AH30" s="15"/>
      <c r="AI30" s="15"/>
      <c r="AK30" s="36"/>
      <c r="AL30" s="36"/>
      <c r="AM30" s="36"/>
      <c r="AN30" s="36"/>
      <c r="AO30" s="36"/>
    </row>
    <row r="31" spans="1:45" x14ac:dyDescent="0.25">
      <c r="F31" s="35"/>
      <c r="R31" s="17"/>
      <c r="U31" s="16"/>
      <c r="V31" s="16"/>
      <c r="W31" s="15"/>
      <c r="X31" s="15"/>
      <c r="Y31" s="15"/>
      <c r="Z31" s="15"/>
      <c r="AB31" s="15"/>
      <c r="AC31" s="15"/>
      <c r="AD31" s="15"/>
      <c r="AE31" s="15"/>
      <c r="AF31" s="15"/>
      <c r="AG31" s="15"/>
      <c r="AH31" s="15"/>
      <c r="AI31" s="15"/>
      <c r="AK31" s="36"/>
      <c r="AL31" s="36"/>
      <c r="AM31" s="36"/>
      <c r="AN31" s="36"/>
      <c r="AO31" s="36"/>
    </row>
    <row r="32" spans="1:45" x14ac:dyDescent="0.25">
      <c r="F32" s="35"/>
      <c r="R32" s="17"/>
      <c r="U32" s="16"/>
      <c r="V32" s="16"/>
      <c r="W32" s="15"/>
      <c r="X32" s="15"/>
      <c r="Y32" s="15"/>
      <c r="Z32" s="15"/>
      <c r="AB32" s="15"/>
      <c r="AC32" s="15"/>
      <c r="AD32" s="15"/>
      <c r="AE32" s="15"/>
      <c r="AF32" s="15"/>
      <c r="AG32" s="15"/>
      <c r="AH32" s="15"/>
      <c r="AI32" s="15"/>
      <c r="AK32" s="36"/>
      <c r="AL32" s="36"/>
      <c r="AM32" s="36"/>
      <c r="AN32" s="36"/>
      <c r="AO32" s="36"/>
    </row>
    <row r="33" spans="6:43" x14ac:dyDescent="0.25">
      <c r="F33" s="35"/>
      <c r="R33" s="17"/>
      <c r="U33" s="16"/>
      <c r="V33" s="16"/>
      <c r="W33" s="15"/>
      <c r="X33" s="15"/>
      <c r="Y33" s="15"/>
      <c r="Z33" s="15"/>
      <c r="AB33" s="15"/>
      <c r="AC33" s="15"/>
      <c r="AD33" s="15"/>
      <c r="AE33" s="15"/>
      <c r="AF33" s="15"/>
      <c r="AG33" s="15"/>
      <c r="AH33" s="15"/>
      <c r="AI33" s="15"/>
      <c r="AK33" s="36"/>
      <c r="AL33" s="36"/>
      <c r="AM33" s="36"/>
      <c r="AN33" s="36"/>
      <c r="AO33" s="36"/>
    </row>
    <row r="34" spans="6:43" x14ac:dyDescent="0.25">
      <c r="F34" s="35"/>
      <c r="R34" s="18"/>
      <c r="U34" s="16"/>
      <c r="V34" s="16"/>
      <c r="W34" s="15"/>
      <c r="X34" s="15"/>
      <c r="Y34" s="15"/>
      <c r="Z34" s="15"/>
      <c r="AB34" s="15"/>
      <c r="AC34" s="15"/>
      <c r="AD34" s="15"/>
      <c r="AE34" s="15"/>
      <c r="AF34" s="15"/>
      <c r="AG34" s="15"/>
      <c r="AH34" s="15"/>
      <c r="AI34" s="15"/>
      <c r="AK34" s="36"/>
      <c r="AL34" s="36"/>
      <c r="AM34" s="36"/>
      <c r="AN34" s="36"/>
      <c r="AO34" s="36"/>
    </row>
    <row r="35" spans="6:43" x14ac:dyDescent="0.25">
      <c r="F35" s="35"/>
      <c r="R35" s="17"/>
      <c r="U35" s="16"/>
      <c r="V35" s="16"/>
      <c r="W35" s="15"/>
      <c r="X35" s="15"/>
      <c r="Y35" s="15"/>
      <c r="Z35" s="15"/>
      <c r="AB35" s="15"/>
      <c r="AC35" s="15"/>
      <c r="AD35" s="15"/>
      <c r="AE35" s="15"/>
      <c r="AF35" s="15"/>
      <c r="AG35" s="15"/>
      <c r="AH35" s="15"/>
      <c r="AI35" s="15"/>
      <c r="AK35" s="36"/>
      <c r="AL35" s="36"/>
      <c r="AM35" s="36"/>
      <c r="AN35" s="36"/>
      <c r="AO35" s="36"/>
    </row>
    <row r="36" spans="6:43" x14ac:dyDescent="0.25">
      <c r="F36" s="35"/>
      <c r="R36" s="17"/>
      <c r="U36" s="16"/>
      <c r="V36" s="16"/>
      <c r="W36" s="15"/>
      <c r="X36" s="15"/>
      <c r="Y36" s="15"/>
      <c r="Z36" s="15"/>
      <c r="AB36" s="15"/>
      <c r="AC36" s="15"/>
      <c r="AD36" s="15"/>
      <c r="AE36" s="15"/>
      <c r="AF36" s="15"/>
      <c r="AG36" s="15"/>
      <c r="AH36" s="15"/>
      <c r="AI36" s="15"/>
      <c r="AK36" s="36"/>
      <c r="AL36" s="36"/>
      <c r="AM36" s="36"/>
      <c r="AN36" s="36"/>
      <c r="AO36" s="36"/>
    </row>
    <row r="37" spans="6:43" x14ac:dyDescent="0.25">
      <c r="F37" s="35"/>
      <c r="AK37" s="36"/>
      <c r="AL37" s="36"/>
      <c r="AM37" s="36"/>
      <c r="AN37" s="36"/>
      <c r="AO37" s="36"/>
    </row>
    <row r="38" spans="6:43" x14ac:dyDescent="0.25">
      <c r="F38" s="35"/>
      <c r="AK38" s="36"/>
      <c r="AL38" s="36"/>
      <c r="AM38" s="36"/>
      <c r="AN38" s="36"/>
      <c r="AO38" s="36"/>
    </row>
    <row r="39" spans="6:43" x14ac:dyDescent="0.25">
      <c r="AK39" s="36"/>
      <c r="AL39" s="36"/>
      <c r="AM39" s="36"/>
      <c r="AN39" s="36"/>
      <c r="AO39" s="36"/>
    </row>
    <row r="40" spans="6:43" x14ac:dyDescent="0.25">
      <c r="AK40" s="36"/>
      <c r="AL40" s="36"/>
      <c r="AM40" s="36"/>
      <c r="AN40" s="36"/>
      <c r="AO40" s="36"/>
    </row>
    <row r="41" spans="6:43" x14ac:dyDescent="0.25">
      <c r="AK41" s="36"/>
      <c r="AL41" s="36"/>
      <c r="AM41" s="36"/>
      <c r="AN41" s="36"/>
      <c r="AO41" s="36"/>
    </row>
    <row r="42" spans="6:43" x14ac:dyDescent="0.25">
      <c r="AK42" s="36"/>
      <c r="AL42" s="36"/>
      <c r="AM42" s="36"/>
      <c r="AN42" s="36"/>
      <c r="AO42" s="36"/>
    </row>
    <row r="43" spans="6:43" ht="15.75" thickBot="1" x14ac:dyDescent="0.3">
      <c r="AK43" s="37"/>
      <c r="AL43" s="37"/>
      <c r="AM43" s="37"/>
      <c r="AN43" s="37"/>
      <c r="AO43" s="37"/>
    </row>
    <row r="46" spans="6:43" ht="15.75" thickBot="1" x14ac:dyDescent="0.3"/>
    <row r="47" spans="6:43" x14ac:dyDescent="0.25">
      <c r="AK47" s="38"/>
      <c r="AL47" s="38"/>
      <c r="AM47" s="38"/>
      <c r="AN47" s="38"/>
      <c r="AO47" s="38"/>
      <c r="AP47" s="38"/>
      <c r="AQ47" s="38"/>
    </row>
    <row r="48" spans="6:43" x14ac:dyDescent="0.25">
      <c r="AK48" s="36"/>
      <c r="AL48" s="36"/>
      <c r="AM48" s="36"/>
      <c r="AN48" s="36"/>
      <c r="AO48" s="36"/>
      <c r="AP48" s="36"/>
      <c r="AQ48" s="36"/>
    </row>
    <row r="49" spans="37:43" x14ac:dyDescent="0.25">
      <c r="AK49" s="36"/>
      <c r="AL49" s="36"/>
      <c r="AM49" s="36"/>
      <c r="AN49" s="36"/>
      <c r="AO49" s="36"/>
      <c r="AP49" s="36"/>
      <c r="AQ49" s="36"/>
    </row>
    <row r="50" spans="37:43" x14ac:dyDescent="0.25">
      <c r="AK50" s="36"/>
      <c r="AL50" s="36"/>
      <c r="AM50" s="36"/>
      <c r="AN50" s="36"/>
      <c r="AO50" s="36"/>
      <c r="AP50" s="36"/>
      <c r="AQ50" s="36"/>
    </row>
    <row r="51" spans="37:43" x14ac:dyDescent="0.25">
      <c r="AK51" s="36"/>
      <c r="AL51" s="36"/>
      <c r="AM51" s="36"/>
      <c r="AN51" s="36"/>
      <c r="AO51" s="36"/>
      <c r="AP51" s="36"/>
      <c r="AQ51" s="36"/>
    </row>
    <row r="52" spans="37:43" ht="15.75" thickBot="1" x14ac:dyDescent="0.3">
      <c r="AK52" s="37"/>
      <c r="AL52" s="37"/>
      <c r="AM52" s="37"/>
      <c r="AN52" s="37"/>
      <c r="AO52" s="37"/>
      <c r="AP52" s="37"/>
      <c r="AQ52" s="37"/>
    </row>
  </sheetData>
  <sortState ref="A2:AE19">
    <sortCondition ref="C2:C19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1"/>
  <sheetViews>
    <sheetView workbookViewId="0">
      <selection sqref="A1:XFD1"/>
    </sheetView>
  </sheetViews>
  <sheetFormatPr defaultRowHeight="15" x14ac:dyDescent="0.25"/>
  <cols>
    <col min="1" max="1" width="22.5703125" customWidth="1"/>
    <col min="2" max="13" width="14.42578125" customWidth="1"/>
  </cols>
  <sheetData>
    <row r="1" spans="1:20" ht="30" x14ac:dyDescent="0.25">
      <c r="A1" s="44" t="s">
        <v>62</v>
      </c>
      <c r="B1" s="43" t="s">
        <v>61</v>
      </c>
      <c r="C1" s="43" t="s">
        <v>61</v>
      </c>
      <c r="D1" s="43" t="s">
        <v>61</v>
      </c>
      <c r="E1" s="10">
        <v>43326</v>
      </c>
      <c r="F1" s="10">
        <v>43326</v>
      </c>
      <c r="G1" s="10">
        <v>43326</v>
      </c>
      <c r="H1" s="10">
        <v>43451</v>
      </c>
      <c r="I1" s="10">
        <v>43451</v>
      </c>
      <c r="J1" s="10">
        <v>43451</v>
      </c>
      <c r="K1" s="10">
        <v>43516</v>
      </c>
      <c r="L1" s="10">
        <v>43516</v>
      </c>
      <c r="M1" s="10">
        <v>43516</v>
      </c>
    </row>
    <row r="2" spans="1:20" ht="30" x14ac:dyDescent="0.25">
      <c r="A2" s="2" t="s">
        <v>1</v>
      </c>
      <c r="B2" s="3" t="s">
        <v>31</v>
      </c>
      <c r="C2" s="3" t="s">
        <v>32</v>
      </c>
      <c r="D2" s="40" t="s">
        <v>49</v>
      </c>
      <c r="E2" s="3" t="s">
        <v>31</v>
      </c>
      <c r="F2" s="3" t="s">
        <v>32</v>
      </c>
      <c r="G2" s="40" t="s">
        <v>49</v>
      </c>
      <c r="H2" s="3" t="s">
        <v>31</v>
      </c>
      <c r="I2" s="3" t="s">
        <v>32</v>
      </c>
      <c r="J2" s="40" t="s">
        <v>49</v>
      </c>
      <c r="K2" s="3" t="s">
        <v>31</v>
      </c>
      <c r="L2" s="3" t="s">
        <v>32</v>
      </c>
      <c r="M2" s="40" t="s">
        <v>49</v>
      </c>
    </row>
    <row r="3" spans="1:20" x14ac:dyDescent="0.25">
      <c r="A3" s="2" t="s">
        <v>65</v>
      </c>
      <c r="B3" s="4" t="s">
        <v>2</v>
      </c>
      <c r="C3" s="4" t="s">
        <v>2</v>
      </c>
      <c r="D3" s="4" t="s">
        <v>12</v>
      </c>
      <c r="E3" s="4" t="s">
        <v>2</v>
      </c>
      <c r="F3" s="4" t="s">
        <v>2</v>
      </c>
      <c r="G3" s="4" t="s">
        <v>12</v>
      </c>
      <c r="H3" s="4" t="s">
        <v>2</v>
      </c>
      <c r="I3" s="4" t="s">
        <v>2</v>
      </c>
      <c r="J3" s="4" t="s">
        <v>12</v>
      </c>
      <c r="K3" s="4" t="s">
        <v>2</v>
      </c>
      <c r="L3" s="4" t="s">
        <v>2</v>
      </c>
      <c r="M3" s="4" t="s">
        <v>12</v>
      </c>
    </row>
    <row r="4" spans="1:20" x14ac:dyDescent="0.25">
      <c r="A4" s="2" t="s">
        <v>34</v>
      </c>
      <c r="B4" s="5">
        <v>0.93557074787652783</v>
      </c>
      <c r="C4" s="5">
        <v>0.97037497410399853</v>
      </c>
      <c r="D4" s="5">
        <v>3.6521739130435014E-2</v>
      </c>
      <c r="E4" s="5">
        <v>0.96674282812896672</v>
      </c>
      <c r="F4" s="5">
        <v>0.79055597867479055</v>
      </c>
      <c r="G4" s="5">
        <v>0.20052008090147355</v>
      </c>
      <c r="H4" s="5">
        <v>0.75445816186556924</v>
      </c>
      <c r="I4" s="5">
        <v>0.81344307270233185</v>
      </c>
      <c r="J4" s="5">
        <v>7.5240594925634202E-2</v>
      </c>
      <c r="K4" s="5">
        <v>0.95088044485634848</v>
      </c>
      <c r="L4" s="5">
        <v>0.7225826382452889</v>
      </c>
      <c r="M4" s="5">
        <v>0.27284474801550668</v>
      </c>
      <c r="N4" s="45"/>
      <c r="O4" s="14"/>
      <c r="P4" s="14"/>
      <c r="Q4" s="14"/>
      <c r="R4" s="14"/>
      <c r="S4" s="14"/>
      <c r="T4" s="14"/>
    </row>
    <row r="5" spans="1:20" x14ac:dyDescent="0.25">
      <c r="A5" s="2" t="s">
        <v>35</v>
      </c>
      <c r="B5" s="5">
        <v>0.81108202443280975</v>
      </c>
      <c r="C5" s="5">
        <v>0.87739965095986028</v>
      </c>
      <c r="D5" s="5">
        <v>7.8552971576227301E-2</v>
      </c>
      <c r="E5" s="5">
        <v>0.98475528216100561</v>
      </c>
      <c r="F5" s="5">
        <v>1.0029419630917358</v>
      </c>
      <c r="G5" s="5">
        <v>1.8299246501614668E-2</v>
      </c>
      <c r="H5" s="5">
        <v>0.89156023040320564</v>
      </c>
      <c r="I5" s="5">
        <v>1.0277986476333583</v>
      </c>
      <c r="J5" s="5">
        <v>0.14196242171189966</v>
      </c>
      <c r="K5" s="5">
        <v>1.1192802056555271</v>
      </c>
      <c r="L5" s="5">
        <v>0.97960582690659814</v>
      </c>
      <c r="M5" s="5">
        <v>0.1330938188944232</v>
      </c>
      <c r="N5" s="45"/>
      <c r="O5" s="14"/>
      <c r="P5" s="14"/>
      <c r="Q5" s="14"/>
      <c r="R5" s="14"/>
      <c r="S5" s="14"/>
      <c r="T5" s="14"/>
    </row>
    <row r="6" spans="1:20" x14ac:dyDescent="0.25">
      <c r="A6" s="2" t="s">
        <v>66</v>
      </c>
      <c r="B6" s="4" t="s">
        <v>2</v>
      </c>
      <c r="C6" s="4" t="s">
        <v>2</v>
      </c>
      <c r="D6" s="4" t="s">
        <v>12</v>
      </c>
      <c r="E6" s="4" t="s">
        <v>2</v>
      </c>
      <c r="F6" s="4" t="s">
        <v>2</v>
      </c>
      <c r="G6" s="4" t="s">
        <v>12</v>
      </c>
      <c r="H6" s="4" t="s">
        <v>2</v>
      </c>
      <c r="I6" s="4" t="s">
        <v>2</v>
      </c>
      <c r="J6" s="4" t="s">
        <v>12</v>
      </c>
      <c r="K6" s="4" t="s">
        <v>2</v>
      </c>
      <c r="L6" s="4" t="s">
        <v>2</v>
      </c>
      <c r="M6" s="4" t="s">
        <v>12</v>
      </c>
      <c r="N6" s="45"/>
    </row>
    <row r="7" spans="1:20" x14ac:dyDescent="0.25">
      <c r="A7" s="2" t="s">
        <v>4</v>
      </c>
      <c r="B7" s="5">
        <v>0.84727272727272729</v>
      </c>
      <c r="C7" s="13">
        <v>0.99939393939393928</v>
      </c>
      <c r="D7" s="13">
        <v>0.16475221529373141</v>
      </c>
      <c r="E7" s="5">
        <v>0.91479544755459841</v>
      </c>
      <c r="F7" s="5">
        <v>0.9104890802829898</v>
      </c>
      <c r="G7" s="6">
        <v>4.7185709470844517E-3</v>
      </c>
      <c r="H7" s="5">
        <v>1.007226382866903</v>
      </c>
      <c r="I7" s="5">
        <v>1.2232295361976087</v>
      </c>
      <c r="J7" s="5">
        <v>0.19368520263901987</v>
      </c>
      <c r="K7" s="5">
        <v>1.1454841713221604</v>
      </c>
      <c r="L7" s="5">
        <v>0.97299813780260702</v>
      </c>
      <c r="M7" s="5">
        <v>0.16283924843423828</v>
      </c>
      <c r="N7" s="45"/>
      <c r="O7" s="14"/>
      <c r="P7" s="14"/>
      <c r="Q7" s="14"/>
      <c r="R7" s="14"/>
      <c r="S7" s="14"/>
      <c r="T7" s="14"/>
    </row>
    <row r="8" spans="1:20" x14ac:dyDescent="0.25">
      <c r="A8" s="2" t="s">
        <v>5</v>
      </c>
      <c r="B8" s="5">
        <v>0.85173886516168396</v>
      </c>
      <c r="C8" s="13">
        <v>0.95668090298962782</v>
      </c>
      <c r="D8" s="13">
        <v>0.11605937921727397</v>
      </c>
      <c r="E8" s="5">
        <v>0.86120771419538411</v>
      </c>
      <c r="F8" s="5">
        <v>0.86057540309832437</v>
      </c>
      <c r="G8" s="6">
        <v>7.3448402497244792E-4</v>
      </c>
      <c r="H8" s="5">
        <v>0.97377423033067267</v>
      </c>
      <c r="I8" s="5">
        <v>1.1166856708475863</v>
      </c>
      <c r="J8" s="5">
        <v>0.13672727272727264</v>
      </c>
      <c r="K8" s="5">
        <v>1.1175843694493783</v>
      </c>
      <c r="L8" s="5">
        <v>0.96269982238010665</v>
      </c>
      <c r="M8" s="5">
        <v>0.14890710382513653</v>
      </c>
      <c r="N8" s="45"/>
      <c r="O8" s="14"/>
      <c r="P8" s="14"/>
      <c r="Q8" s="14"/>
      <c r="R8" s="14"/>
      <c r="S8" s="14"/>
      <c r="T8" s="14"/>
    </row>
    <row r="9" spans="1:20" x14ac:dyDescent="0.25">
      <c r="A9" s="2" t="s">
        <v>6</v>
      </c>
      <c r="B9" s="5">
        <v>0.92085427135678388</v>
      </c>
      <c r="C9" s="13">
        <v>1.0690954773869346</v>
      </c>
      <c r="D9" s="13">
        <v>0.14898989898989892</v>
      </c>
      <c r="E9" s="5">
        <v>0.81887270424319192</v>
      </c>
      <c r="F9" s="5">
        <v>0.80430652311589612</v>
      </c>
      <c r="G9" s="5">
        <v>1.7947717518533021E-2</v>
      </c>
      <c r="H9" s="5">
        <v>0.91753343239227336</v>
      </c>
      <c r="I9" s="5">
        <v>1.0690936106983655</v>
      </c>
      <c r="J9" s="5">
        <v>0.15258040388930444</v>
      </c>
      <c r="K9" s="5">
        <v>1.1269035532994922</v>
      </c>
      <c r="L9" s="5">
        <v>0.96717428087986457</v>
      </c>
      <c r="M9" s="5">
        <v>0.15255332902391719</v>
      </c>
      <c r="N9" s="45"/>
      <c r="O9" s="14"/>
      <c r="P9" s="14"/>
      <c r="Q9" s="14"/>
      <c r="R9" s="14"/>
      <c r="S9" s="14"/>
      <c r="T9" s="14"/>
    </row>
    <row r="10" spans="1:20" x14ac:dyDescent="0.25">
      <c r="A10" s="2" t="s">
        <v>7</v>
      </c>
      <c r="B10" s="5">
        <v>0.82922429344558024</v>
      </c>
      <c r="C10" s="13">
        <v>0.93385447985568248</v>
      </c>
      <c r="D10" s="13">
        <v>0.11869031377899047</v>
      </c>
      <c r="E10" s="5">
        <v>0.84706597750076007</v>
      </c>
      <c r="F10" s="5">
        <v>0.80693219823654605</v>
      </c>
      <c r="G10" s="5">
        <v>4.8529411764705849E-2</v>
      </c>
      <c r="H10" s="5">
        <v>0.96029962546816483</v>
      </c>
      <c r="I10" s="5">
        <v>1.1363295880149813</v>
      </c>
      <c r="J10" s="5">
        <v>0.16791711325473382</v>
      </c>
      <c r="K10" s="5">
        <v>1.1824661439771915</v>
      </c>
      <c r="L10" s="5">
        <v>0.96792587312900924</v>
      </c>
      <c r="M10" s="5">
        <v>0.19953596287702999</v>
      </c>
      <c r="N10" s="45"/>
      <c r="O10" s="14"/>
      <c r="P10" s="14"/>
      <c r="Q10" s="14"/>
      <c r="R10" s="14"/>
      <c r="S10" s="14"/>
      <c r="T10" s="14"/>
    </row>
    <row r="11" spans="1:20" x14ac:dyDescent="0.25">
      <c r="A11" s="2" t="s">
        <v>47</v>
      </c>
      <c r="B11" s="5">
        <v>0.90520320830235246</v>
      </c>
      <c r="C11" s="13">
        <v>0.93073673885874297</v>
      </c>
      <c r="D11" s="13">
        <v>2.7815213232734417E-2</v>
      </c>
      <c r="E11" s="5">
        <v>0.85812931575643436</v>
      </c>
      <c r="F11" s="5">
        <v>0.81983678593848086</v>
      </c>
      <c r="G11" s="5">
        <v>4.5641601197156698E-2</v>
      </c>
      <c r="H11" s="5">
        <v>0.99557195571955714</v>
      </c>
      <c r="I11" s="5">
        <v>0.98007380073800732</v>
      </c>
      <c r="J11" s="5">
        <v>1.568920433320883E-2</v>
      </c>
      <c r="K11" s="5">
        <v>1.1138983809217957</v>
      </c>
      <c r="L11" s="5">
        <v>0.9056157151981179</v>
      </c>
      <c r="M11" s="5">
        <v>0.20627007865293009</v>
      </c>
      <c r="N11" s="45"/>
      <c r="O11" s="14"/>
      <c r="P11" s="14"/>
      <c r="Q11" s="14"/>
      <c r="R11" s="14"/>
      <c r="S11" s="14"/>
      <c r="T11" s="14"/>
    </row>
    <row r="12" spans="1:20" x14ac:dyDescent="0.25">
      <c r="A12" s="2" t="s">
        <v>48</v>
      </c>
      <c r="B12" s="5">
        <v>0.78815128272943658</v>
      </c>
      <c r="C12" s="13">
        <v>0.87516530018513627</v>
      </c>
      <c r="D12" s="13">
        <v>9.2203389830508367E-2</v>
      </c>
      <c r="E12" s="5">
        <v>0.92562814070351762</v>
      </c>
      <c r="F12" s="5">
        <v>0.99262981574539366</v>
      </c>
      <c r="G12" s="5">
        <v>6.985679357317498E-2</v>
      </c>
      <c r="H12" s="5">
        <v>1.0116115411681914</v>
      </c>
      <c r="I12" s="5">
        <v>1.1284306826178747</v>
      </c>
      <c r="J12" s="5">
        <v>0.10917461361394276</v>
      </c>
      <c r="K12" s="5">
        <v>1.2276476410425599</v>
      </c>
      <c r="L12" s="5">
        <v>1.0052787858792476</v>
      </c>
      <c r="M12" s="5">
        <v>0.19917257683215123</v>
      </c>
      <c r="N12" s="45"/>
      <c r="O12" s="14"/>
      <c r="P12" s="14"/>
      <c r="Q12" s="14"/>
      <c r="R12" s="14"/>
      <c r="S12" s="14"/>
      <c r="T12" s="14"/>
    </row>
    <row r="13" spans="1:20" x14ac:dyDescent="0.25">
      <c r="A13" s="2" t="s">
        <v>63</v>
      </c>
      <c r="B13" s="5">
        <v>0.86028737389177645</v>
      </c>
      <c r="C13" s="13">
        <v>0.94344237236319184</v>
      </c>
      <c r="D13" s="13">
        <v>9.2203389830508367E-2</v>
      </c>
      <c r="E13" s="5">
        <v>0.87099841521394616</v>
      </c>
      <c r="F13" s="5">
        <v>0.7936608557844691</v>
      </c>
      <c r="G13" s="5">
        <v>9.2916984006092967E-2</v>
      </c>
      <c r="H13" s="5">
        <v>0.98977659977281329</v>
      </c>
      <c r="I13" s="5">
        <v>1.1351760696705793</v>
      </c>
      <c r="J13" s="5">
        <v>0.13684960798289378</v>
      </c>
      <c r="K13" s="5">
        <v>1.2344256391789701</v>
      </c>
      <c r="L13" s="5">
        <v>0.97155203456967953</v>
      </c>
      <c r="M13" s="5">
        <v>0.23832843617368588</v>
      </c>
      <c r="N13" s="45"/>
      <c r="O13" s="14"/>
      <c r="P13" s="14"/>
      <c r="Q13" s="14"/>
      <c r="R13" s="14"/>
      <c r="S13" s="14"/>
      <c r="T13" s="14"/>
    </row>
    <row r="14" spans="1:20" x14ac:dyDescent="0.25">
      <c r="A14" s="2" t="s">
        <v>64</v>
      </c>
      <c r="B14" s="5">
        <v>0.90813341135166759</v>
      </c>
      <c r="C14" s="13">
        <v>1.0228203627852546</v>
      </c>
      <c r="D14" s="13">
        <v>0.11878787878787887</v>
      </c>
      <c r="E14" s="5">
        <v>0.87479780006470398</v>
      </c>
      <c r="F14" s="5">
        <v>0.83468133290197344</v>
      </c>
      <c r="G14" s="5">
        <v>4.6934140802422447E-2</v>
      </c>
      <c r="H14" s="5">
        <v>0.98722764838467336</v>
      </c>
      <c r="I14" s="5">
        <v>1.108940646130729</v>
      </c>
      <c r="J14" s="5">
        <v>0.11612903225806449</v>
      </c>
      <c r="K14" s="5">
        <v>1.2396633735821443</v>
      </c>
      <c r="L14" s="5">
        <v>0.9732894255397001</v>
      </c>
      <c r="M14" s="5">
        <v>0.2407407407407407</v>
      </c>
      <c r="N14" s="45"/>
      <c r="O14" s="14"/>
      <c r="P14" s="14"/>
      <c r="Q14" s="14"/>
      <c r="R14" s="14"/>
      <c r="S14" s="14"/>
      <c r="T14" s="14"/>
    </row>
    <row r="15" spans="1:20" x14ac:dyDescent="0.25">
      <c r="A15" s="2" t="s">
        <v>8</v>
      </c>
      <c r="B15" s="5">
        <v>0.91240662811374784</v>
      </c>
      <c r="C15" s="13">
        <v>0.98178418819171875</v>
      </c>
      <c r="D15" s="13">
        <v>7.3252979035437094E-2</v>
      </c>
      <c r="E15" s="5">
        <v>0.91282375236891977</v>
      </c>
      <c r="F15" s="5">
        <v>0.85407454200884403</v>
      </c>
      <c r="G15" s="5">
        <v>6.6499821237039611E-2</v>
      </c>
      <c r="H15" s="5">
        <v>1.033397312859885</v>
      </c>
      <c r="I15" s="5">
        <v>1.1547024952015357</v>
      </c>
      <c r="J15" s="5">
        <v>0.11087719298245612</v>
      </c>
      <c r="K15" s="5">
        <v>1.2084900087882322</v>
      </c>
      <c r="L15" s="5">
        <v>0.97869934160291583</v>
      </c>
      <c r="M15" s="5">
        <v>0.21012416427889202</v>
      </c>
      <c r="N15" s="45"/>
      <c r="O15" s="14"/>
      <c r="P15" s="14"/>
      <c r="Q15" s="14"/>
      <c r="R15" s="14"/>
      <c r="S15" s="14"/>
      <c r="T15" s="14"/>
    </row>
    <row r="16" spans="1:20" x14ac:dyDescent="0.25">
      <c r="A16" s="2" t="s">
        <v>9</v>
      </c>
      <c r="B16" s="5">
        <v>0.97205651491365785</v>
      </c>
      <c r="C16" s="13">
        <v>1.0091051805337521</v>
      </c>
      <c r="D16" s="13">
        <v>3.7400950871632366E-2</v>
      </c>
      <c r="E16" s="5">
        <v>0.89462623836685673</v>
      </c>
      <c r="F16" s="5">
        <v>0.83398378865205647</v>
      </c>
      <c r="G16" s="5">
        <v>7.0163251128864082E-2</v>
      </c>
      <c r="H16" s="5">
        <v>1.0539826349565873</v>
      </c>
      <c r="I16" s="5">
        <v>1.2314080785201962</v>
      </c>
      <c r="J16" s="5">
        <v>0.15526924347538817</v>
      </c>
      <c r="K16" s="5">
        <v>1.4907723855092276</v>
      </c>
      <c r="L16" s="5">
        <v>1.1975393028024608</v>
      </c>
      <c r="M16" s="5">
        <v>0.21815408085430965</v>
      </c>
      <c r="N16" s="45"/>
      <c r="O16" s="14"/>
      <c r="P16" s="14"/>
      <c r="Q16" s="14"/>
      <c r="R16" s="14"/>
      <c r="S16" s="14"/>
      <c r="T16" s="14"/>
    </row>
    <row r="18" spans="1:1" x14ac:dyDescent="0.25">
      <c r="A18" t="s">
        <v>71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37"/>
  <sheetViews>
    <sheetView workbookViewId="0">
      <selection activeCell="E29" sqref="E29"/>
    </sheetView>
  </sheetViews>
  <sheetFormatPr defaultRowHeight="15" x14ac:dyDescent="0.25"/>
  <cols>
    <col min="1" max="1" width="34.140625" style="69" customWidth="1"/>
    <col min="2" max="2" width="14.85546875" style="70" customWidth="1"/>
    <col min="3" max="3" width="10.5703125" style="69" customWidth="1"/>
    <col min="4" max="4" width="9.140625" style="69"/>
    <col min="5" max="5" width="16" style="69" customWidth="1"/>
    <col min="6" max="6" width="10.7109375" style="70" customWidth="1"/>
    <col min="7" max="7" width="11.42578125" style="69" customWidth="1"/>
    <col min="8" max="8" width="13.28515625" style="69" customWidth="1"/>
    <col min="9" max="9" width="11.42578125" style="69" customWidth="1"/>
    <col min="10" max="10" width="12.7109375" style="69" customWidth="1"/>
    <col min="11" max="13" width="14.85546875" style="69" customWidth="1"/>
    <col min="14" max="14" width="13.140625" style="69" customWidth="1"/>
    <col min="15" max="16" width="14.85546875" style="69" customWidth="1"/>
    <col min="17" max="17" width="13.85546875" style="69" customWidth="1"/>
    <col min="18" max="31" width="13.42578125" style="9" customWidth="1"/>
    <col min="54" max="54" width="12.140625" customWidth="1"/>
    <col min="55" max="55" width="10.42578125" customWidth="1"/>
    <col min="62" max="62" width="23.7109375" customWidth="1"/>
    <col min="63" max="63" width="13" customWidth="1"/>
  </cols>
  <sheetData>
    <row r="1" spans="1:67" ht="45" x14ac:dyDescent="0.25">
      <c r="A1" s="57" t="s">
        <v>54</v>
      </c>
      <c r="B1" s="58" t="s">
        <v>0</v>
      </c>
      <c r="C1" s="58" t="s">
        <v>51</v>
      </c>
      <c r="D1" s="59" t="s">
        <v>11</v>
      </c>
      <c r="E1" s="58" t="s">
        <v>53</v>
      </c>
      <c r="F1" s="89" t="s">
        <v>55</v>
      </c>
      <c r="G1" s="89" t="s">
        <v>14</v>
      </c>
      <c r="H1" s="58" t="s">
        <v>37</v>
      </c>
      <c r="I1" s="58" t="s">
        <v>38</v>
      </c>
      <c r="J1" s="58" t="s">
        <v>39</v>
      </c>
      <c r="K1" s="58" t="s">
        <v>40</v>
      </c>
      <c r="L1" s="58" t="s">
        <v>41</v>
      </c>
      <c r="M1" s="58" t="s">
        <v>42</v>
      </c>
      <c r="N1" s="58" t="s">
        <v>43</v>
      </c>
      <c r="O1" s="58" t="s">
        <v>44</v>
      </c>
      <c r="P1" s="58" t="s">
        <v>45</v>
      </c>
      <c r="Q1" s="58" t="s">
        <v>46</v>
      </c>
      <c r="R1" s="27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47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47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45"/>
      <c r="BD1" s="45"/>
      <c r="BE1" s="45"/>
      <c r="BO1" s="28"/>
    </row>
    <row r="2" spans="1:67" ht="15.75" x14ac:dyDescent="0.25">
      <c r="A2" s="100" t="s">
        <v>83</v>
      </c>
      <c r="B2" s="60">
        <v>43119</v>
      </c>
      <c r="C2" s="60">
        <v>43124</v>
      </c>
      <c r="D2" s="50">
        <v>2.1999999999999999E-2</v>
      </c>
      <c r="E2" s="59" t="s">
        <v>26</v>
      </c>
      <c r="F2" s="90">
        <v>0.92856132409110204</v>
      </c>
      <c r="G2" s="90">
        <v>0.94433497536945832</v>
      </c>
      <c r="H2" s="61" t="s">
        <v>15</v>
      </c>
      <c r="I2" s="61" t="s">
        <v>13</v>
      </c>
      <c r="J2" s="62">
        <v>628.23691460055102</v>
      </c>
      <c r="K2" s="61" t="s">
        <v>13</v>
      </c>
      <c r="L2" s="63" t="s">
        <v>15</v>
      </c>
      <c r="M2" s="63" t="s">
        <v>13</v>
      </c>
      <c r="N2" s="63" t="s">
        <v>13</v>
      </c>
      <c r="O2" s="63" t="s">
        <v>13</v>
      </c>
      <c r="P2" s="61" t="s">
        <v>13</v>
      </c>
      <c r="Q2" s="63" t="s">
        <v>13</v>
      </c>
      <c r="R2" s="3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34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45"/>
      <c r="BD2" s="48"/>
      <c r="BE2" s="45"/>
      <c r="BL2" s="1"/>
      <c r="BO2" s="39"/>
    </row>
    <row r="3" spans="1:67" s="51" customFormat="1" ht="15.75" x14ac:dyDescent="0.25">
      <c r="A3" s="99" t="s">
        <v>94</v>
      </c>
      <c r="B3" s="64">
        <v>43119</v>
      </c>
      <c r="C3" s="64">
        <v>43124</v>
      </c>
      <c r="D3" s="56">
        <v>4.99E-2</v>
      </c>
      <c r="E3" s="65" t="s">
        <v>26</v>
      </c>
      <c r="F3" s="91">
        <v>0.98529784537389087</v>
      </c>
      <c r="G3" s="91">
        <v>0.92174540209159761</v>
      </c>
      <c r="H3" s="66" t="s">
        <v>13</v>
      </c>
      <c r="I3" s="66" t="s">
        <v>13</v>
      </c>
      <c r="J3" s="67">
        <v>612.86660007321143</v>
      </c>
      <c r="K3" s="66" t="s">
        <v>13</v>
      </c>
      <c r="L3" s="68">
        <v>49.999069346122582</v>
      </c>
      <c r="M3" s="67">
        <v>115.64925516668011</v>
      </c>
      <c r="N3" s="68">
        <v>42.748034769228859</v>
      </c>
      <c r="O3" s="68">
        <v>50.007135013060179</v>
      </c>
      <c r="P3" s="68">
        <v>58.228456913827657</v>
      </c>
      <c r="Q3" s="68" t="s">
        <v>13</v>
      </c>
      <c r="R3" s="30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52"/>
      <c r="BD3" s="53"/>
      <c r="BE3" s="52"/>
      <c r="BL3" s="54"/>
      <c r="BO3" s="55"/>
    </row>
    <row r="4" spans="1:67" x14ac:dyDescent="0.25">
      <c r="A4" s="101" t="s">
        <v>86</v>
      </c>
      <c r="B4" s="60">
        <v>43123</v>
      </c>
      <c r="C4" s="60">
        <v>43124</v>
      </c>
      <c r="D4" s="50">
        <v>1.7600000000000001E-2</v>
      </c>
      <c r="E4" s="59" t="s">
        <v>26</v>
      </c>
      <c r="F4" s="90">
        <v>0.71636723723298912</v>
      </c>
      <c r="G4" s="90">
        <v>0.87955665024630558</v>
      </c>
      <c r="H4" s="61" t="s">
        <v>13</v>
      </c>
      <c r="I4" s="61" t="s">
        <v>13</v>
      </c>
      <c r="J4" s="62">
        <v>117.5373134328358</v>
      </c>
      <c r="K4" s="61" t="s">
        <v>13</v>
      </c>
      <c r="L4" s="63" t="s">
        <v>15</v>
      </c>
      <c r="M4" s="62" t="s">
        <v>13</v>
      </c>
      <c r="N4" s="63" t="s">
        <v>13</v>
      </c>
      <c r="O4" s="63" t="s">
        <v>13</v>
      </c>
      <c r="P4" s="61" t="s">
        <v>13</v>
      </c>
      <c r="Q4" s="63" t="s">
        <v>13</v>
      </c>
      <c r="R4" s="30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34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45"/>
      <c r="BD4" s="48"/>
      <c r="BE4" s="45"/>
      <c r="BL4" s="1"/>
      <c r="BO4" s="39"/>
    </row>
    <row r="5" spans="1:67" ht="15.75" x14ac:dyDescent="0.25">
      <c r="A5" s="100" t="s">
        <v>83</v>
      </c>
      <c r="B5" s="60">
        <v>43222</v>
      </c>
      <c r="C5" s="60">
        <v>43229</v>
      </c>
      <c r="D5" s="50">
        <v>1.6E-2</v>
      </c>
      <c r="E5" s="59" t="s">
        <v>30</v>
      </c>
      <c r="F5" s="90">
        <v>0.84706720493944432</v>
      </c>
      <c r="G5" s="90">
        <v>0.97510580034851879</v>
      </c>
      <c r="H5" s="61" t="s">
        <v>13</v>
      </c>
      <c r="I5" s="61" t="s">
        <v>13</v>
      </c>
      <c r="J5" s="62">
        <v>672.84201954397395</v>
      </c>
      <c r="K5" s="61" t="s">
        <v>13</v>
      </c>
      <c r="L5" s="63" t="s">
        <v>15</v>
      </c>
      <c r="M5" s="62">
        <v>217.01954397394138</v>
      </c>
      <c r="N5" s="63">
        <v>60.260586319218241</v>
      </c>
      <c r="O5" s="63" t="s">
        <v>15</v>
      </c>
      <c r="P5" s="61" t="s">
        <v>15</v>
      </c>
      <c r="Q5" s="62">
        <v>156.35179153094464</v>
      </c>
      <c r="R5" s="30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34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45"/>
      <c r="BD5" s="48"/>
      <c r="BE5" s="45"/>
      <c r="BL5" s="1"/>
      <c r="BO5" s="39"/>
    </row>
    <row r="6" spans="1:67" x14ac:dyDescent="0.25">
      <c r="A6" s="101" t="s">
        <v>84</v>
      </c>
      <c r="B6" s="60">
        <v>43222</v>
      </c>
      <c r="C6" s="60">
        <v>43229</v>
      </c>
      <c r="D6" s="50">
        <v>2.1100000000000001E-2</v>
      </c>
      <c r="E6" s="59" t="s">
        <v>30</v>
      </c>
      <c r="F6" s="90">
        <v>0.89954880075991461</v>
      </c>
      <c r="G6" s="90">
        <v>0.93228777694797116</v>
      </c>
      <c r="H6" s="61" t="s">
        <v>13</v>
      </c>
      <c r="I6" s="61" t="s">
        <v>13</v>
      </c>
      <c r="J6" s="62">
        <v>542.42470570249191</v>
      </c>
      <c r="K6" s="61" t="s">
        <v>13</v>
      </c>
      <c r="L6" s="63" t="s">
        <v>15</v>
      </c>
      <c r="M6" s="62" t="s">
        <v>13</v>
      </c>
      <c r="N6" s="63">
        <v>85.460938694389228</v>
      </c>
      <c r="O6" s="63">
        <v>68.643938235743775</v>
      </c>
      <c r="P6" s="61" t="s">
        <v>15</v>
      </c>
      <c r="Q6" s="63" t="s">
        <v>15</v>
      </c>
      <c r="R6" s="30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34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45"/>
      <c r="BD6" s="48"/>
      <c r="BE6" s="45"/>
      <c r="BL6" s="1"/>
      <c r="BO6" s="39"/>
    </row>
    <row r="7" spans="1:67" x14ac:dyDescent="0.25">
      <c r="A7" s="101" t="s">
        <v>85</v>
      </c>
      <c r="B7" s="60">
        <v>43222</v>
      </c>
      <c r="C7" s="60">
        <v>43229</v>
      </c>
      <c r="D7" s="50">
        <v>2.1399999999999999E-2</v>
      </c>
      <c r="E7" s="59" t="s">
        <v>30</v>
      </c>
      <c r="F7" s="90">
        <v>0.82165756352410357</v>
      </c>
      <c r="G7" s="90">
        <v>0.87951207368683093</v>
      </c>
      <c r="H7" s="61" t="s">
        <v>13</v>
      </c>
      <c r="I7" s="61" t="s">
        <v>13</v>
      </c>
      <c r="J7" s="62">
        <v>506.89808633733873</v>
      </c>
      <c r="K7" s="61" t="s">
        <v>13</v>
      </c>
      <c r="L7" s="63" t="s">
        <v>15</v>
      </c>
      <c r="M7" s="62">
        <v>181.87212579735947</v>
      </c>
      <c r="N7" s="63">
        <v>98.946743806556896</v>
      </c>
      <c r="O7" s="63">
        <v>97.908322207387641</v>
      </c>
      <c r="P7" s="61" t="s">
        <v>15</v>
      </c>
      <c r="Q7" s="62">
        <v>106.36404094348019</v>
      </c>
      <c r="R7" s="30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34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45"/>
      <c r="BD7" s="48"/>
      <c r="BE7" s="45"/>
      <c r="BL7" s="1"/>
      <c r="BO7" s="39"/>
    </row>
    <row r="8" spans="1:67" x14ac:dyDescent="0.25">
      <c r="A8" s="101" t="s">
        <v>86</v>
      </c>
      <c r="B8" s="60">
        <v>43222</v>
      </c>
      <c r="C8" s="60">
        <v>43229</v>
      </c>
      <c r="D8" s="50">
        <v>1.54E-2</v>
      </c>
      <c r="E8" s="59" t="s">
        <v>30</v>
      </c>
      <c r="F8" s="90">
        <v>0.78817383044407496</v>
      </c>
      <c r="G8" s="90">
        <v>0.93029624097585251</v>
      </c>
      <c r="H8" s="61" t="s">
        <v>13</v>
      </c>
      <c r="I8" s="61" t="s">
        <v>13</v>
      </c>
      <c r="J8" s="62">
        <v>191.72283412789739</v>
      </c>
      <c r="K8" s="61" t="s">
        <v>13</v>
      </c>
      <c r="L8" s="63" t="s">
        <v>15</v>
      </c>
      <c r="M8" s="63" t="s">
        <v>13</v>
      </c>
      <c r="N8" s="63" t="s">
        <v>13</v>
      </c>
      <c r="O8" s="63" t="s">
        <v>13</v>
      </c>
      <c r="P8" s="61" t="s">
        <v>13</v>
      </c>
      <c r="Q8" s="63" t="s">
        <v>15</v>
      </c>
      <c r="R8" s="30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34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45"/>
      <c r="BD8" s="48"/>
      <c r="BE8" s="45"/>
      <c r="BL8" s="1"/>
      <c r="BO8" s="39"/>
    </row>
    <row r="9" spans="1:67" s="51" customFormat="1" ht="15.75" x14ac:dyDescent="0.25">
      <c r="A9" s="100" t="s">
        <v>83</v>
      </c>
      <c r="B9" s="64">
        <v>43313</v>
      </c>
      <c r="C9" s="64">
        <v>43326</v>
      </c>
      <c r="D9" s="56">
        <v>1.77E-2</v>
      </c>
      <c r="E9" s="65" t="s">
        <v>27</v>
      </c>
      <c r="F9" s="91">
        <v>0.89562864872561576</v>
      </c>
      <c r="G9" s="91">
        <v>1.0145927301671531</v>
      </c>
      <c r="H9" s="66" t="s">
        <v>13</v>
      </c>
      <c r="I9" s="66" t="s">
        <v>13</v>
      </c>
      <c r="J9" s="67">
        <v>402.7937761687968</v>
      </c>
      <c r="K9" s="66" t="s">
        <v>13</v>
      </c>
      <c r="L9" s="68" t="s">
        <v>15</v>
      </c>
      <c r="M9" s="68" t="s">
        <v>13</v>
      </c>
      <c r="N9" s="68" t="s">
        <v>15</v>
      </c>
      <c r="O9" s="68" t="s">
        <v>15</v>
      </c>
      <c r="P9" s="66" t="s">
        <v>15</v>
      </c>
      <c r="Q9" s="68">
        <v>100.74415373082478</v>
      </c>
      <c r="R9" s="30"/>
      <c r="S9" s="21"/>
      <c r="T9" s="21"/>
      <c r="U9" s="21"/>
      <c r="V9" s="26"/>
      <c r="W9" s="21"/>
      <c r="X9" s="21"/>
      <c r="Y9" s="21"/>
      <c r="Z9" s="21"/>
      <c r="AA9" s="21"/>
      <c r="AB9" s="21"/>
      <c r="AC9" s="21"/>
      <c r="AD9" s="21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52"/>
      <c r="BD9" s="53"/>
      <c r="BE9" s="52"/>
      <c r="BL9" s="54"/>
      <c r="BO9" s="55"/>
    </row>
    <row r="10" spans="1:67" x14ac:dyDescent="0.25">
      <c r="A10" s="101" t="s">
        <v>85</v>
      </c>
      <c r="B10" s="60">
        <v>43313</v>
      </c>
      <c r="C10" s="60">
        <v>43326</v>
      </c>
      <c r="D10" s="50">
        <v>5.6500000000000002E-2</v>
      </c>
      <c r="E10" s="59" t="s">
        <v>27</v>
      </c>
      <c r="F10" s="90">
        <v>0.94290189377758782</v>
      </c>
      <c r="G10" s="90">
        <v>1.0098169275669939</v>
      </c>
      <c r="H10" s="61" t="s">
        <v>13</v>
      </c>
      <c r="I10" s="61" t="s">
        <v>13</v>
      </c>
      <c r="J10" s="62">
        <v>160.90628693321034</v>
      </c>
      <c r="K10" s="61" t="s">
        <v>13</v>
      </c>
      <c r="L10" s="63" t="s">
        <v>15</v>
      </c>
      <c r="M10" s="63" t="s">
        <v>13</v>
      </c>
      <c r="N10" s="63" t="s">
        <v>15</v>
      </c>
      <c r="O10" s="63" t="s">
        <v>15</v>
      </c>
      <c r="P10" s="61" t="s">
        <v>15</v>
      </c>
      <c r="Q10" s="63" t="s">
        <v>15</v>
      </c>
      <c r="R10" s="30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34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45"/>
      <c r="BD10" s="48"/>
      <c r="BE10" s="45"/>
      <c r="BL10" s="1"/>
      <c r="BO10" s="39"/>
    </row>
    <row r="11" spans="1:67" x14ac:dyDescent="0.25">
      <c r="A11" s="101" t="s">
        <v>86</v>
      </c>
      <c r="B11" s="60">
        <v>43313</v>
      </c>
      <c r="C11" s="60">
        <v>43326</v>
      </c>
      <c r="D11" s="50">
        <v>3.4000000000000002E-2</v>
      </c>
      <c r="E11" s="59" t="s">
        <v>27</v>
      </c>
      <c r="F11" s="90">
        <v>1.4893919977217711</v>
      </c>
      <c r="G11" s="90">
        <v>0.99389758556646335</v>
      </c>
      <c r="H11" s="61" t="s">
        <v>13</v>
      </c>
      <c r="I11" s="61" t="s">
        <v>13</v>
      </c>
      <c r="J11" s="63">
        <v>40.603033666296696</v>
      </c>
      <c r="K11" s="61" t="s">
        <v>13</v>
      </c>
      <c r="L11" s="63" t="s">
        <v>15</v>
      </c>
      <c r="M11" s="63" t="s">
        <v>13</v>
      </c>
      <c r="N11" s="63" t="s">
        <v>13</v>
      </c>
      <c r="O11" s="63" t="s">
        <v>13</v>
      </c>
      <c r="P11" s="61" t="s">
        <v>13</v>
      </c>
      <c r="Q11" s="63" t="s">
        <v>13</v>
      </c>
      <c r="R11" s="30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34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45"/>
      <c r="BD11" s="48"/>
      <c r="BE11" s="45"/>
      <c r="BL11" s="1"/>
      <c r="BO11" s="39"/>
    </row>
    <row r="12" spans="1:67" ht="15.75" x14ac:dyDescent="0.25">
      <c r="A12" s="100" t="s">
        <v>83</v>
      </c>
      <c r="B12" s="60">
        <v>43429</v>
      </c>
      <c r="C12" s="60">
        <v>43451</v>
      </c>
      <c r="D12" s="50">
        <v>2.9309999999999999E-2</v>
      </c>
      <c r="E12" s="59" t="s">
        <v>29</v>
      </c>
      <c r="F12" s="90">
        <v>0.87285223367697606</v>
      </c>
      <c r="G12" s="90">
        <v>1.0621197113343712</v>
      </c>
      <c r="H12" s="61" t="s">
        <v>13</v>
      </c>
      <c r="I12" s="61" t="s">
        <v>10</v>
      </c>
      <c r="J12" s="62">
        <v>279.43240990877621</v>
      </c>
      <c r="K12" s="61" t="s">
        <v>13</v>
      </c>
      <c r="L12" s="63" t="s">
        <v>13</v>
      </c>
      <c r="M12" s="63" t="s">
        <v>13</v>
      </c>
      <c r="N12" s="62">
        <v>182.33579990044242</v>
      </c>
      <c r="O12" s="63" t="s">
        <v>15</v>
      </c>
      <c r="P12" s="61" t="s">
        <v>15</v>
      </c>
      <c r="Q12" s="62">
        <v>145.53305255857398</v>
      </c>
      <c r="R12" s="31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1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34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45"/>
      <c r="BD12" s="48"/>
      <c r="BE12" s="45"/>
      <c r="BL12" s="1"/>
      <c r="BO12" s="39"/>
    </row>
    <row r="13" spans="1:67" x14ac:dyDescent="0.25">
      <c r="A13" s="101" t="s">
        <v>86</v>
      </c>
      <c r="B13" s="60">
        <v>43429</v>
      </c>
      <c r="C13" s="60">
        <v>43451</v>
      </c>
      <c r="D13" s="50">
        <v>6.0319999999999999E-2</v>
      </c>
      <c r="E13" s="59" t="s">
        <v>29</v>
      </c>
      <c r="F13" s="90">
        <v>0.99524187153053134</v>
      </c>
      <c r="G13" s="90">
        <v>1.0219329276920901</v>
      </c>
      <c r="H13" s="61" t="s">
        <v>15</v>
      </c>
      <c r="I13" s="61" t="s">
        <v>10</v>
      </c>
      <c r="J13" s="62">
        <v>152.05877703023171</v>
      </c>
      <c r="K13" s="61" t="s">
        <v>13</v>
      </c>
      <c r="L13" s="63">
        <v>49.207757303212887</v>
      </c>
      <c r="M13" s="63" t="s">
        <v>15</v>
      </c>
      <c r="N13" s="62" t="s">
        <v>15</v>
      </c>
      <c r="O13" s="63" t="s">
        <v>13</v>
      </c>
      <c r="P13" s="61" t="s">
        <v>13</v>
      </c>
      <c r="Q13" s="63">
        <v>17.401672317178139</v>
      </c>
      <c r="R13" s="30"/>
      <c r="S13" s="21"/>
      <c r="T13" s="21"/>
      <c r="U13" s="21"/>
      <c r="V13" s="21"/>
      <c r="W13" s="21"/>
      <c r="X13" s="21"/>
      <c r="Y13" s="21"/>
      <c r="Z13" s="21"/>
      <c r="AA13" s="21"/>
      <c r="AB13" s="26"/>
      <c r="AC13" s="26"/>
      <c r="AD13" s="21"/>
      <c r="AE13" s="21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34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45"/>
      <c r="BD13" s="48"/>
      <c r="BE13" s="45"/>
    </row>
    <row r="14" spans="1:67" ht="15.75" x14ac:dyDescent="0.25">
      <c r="A14" s="100" t="s">
        <v>83</v>
      </c>
      <c r="B14" s="60">
        <v>43514</v>
      </c>
      <c r="C14" s="60">
        <v>43516</v>
      </c>
      <c r="D14" s="50">
        <v>4.0599999999999997E-2</v>
      </c>
      <c r="E14" s="59" t="s">
        <v>28</v>
      </c>
      <c r="F14" s="90">
        <v>0.71496953872932978</v>
      </c>
      <c r="G14" s="90">
        <v>0.86582592516022328</v>
      </c>
      <c r="H14" s="61" t="s">
        <v>15</v>
      </c>
      <c r="I14" s="61" t="s">
        <v>13</v>
      </c>
      <c r="J14" s="62">
        <v>251.75177616283798</v>
      </c>
      <c r="K14" s="61" t="s">
        <v>13</v>
      </c>
      <c r="L14" s="63" t="s">
        <v>15</v>
      </c>
      <c r="M14" s="62">
        <v>118.60053000373931</v>
      </c>
      <c r="N14" s="62">
        <v>120.71404184753452</v>
      </c>
      <c r="O14" s="63">
        <v>32.596855744687772</v>
      </c>
      <c r="P14" s="61" t="s">
        <v>15</v>
      </c>
      <c r="Q14" s="62">
        <v>149.16516282170093</v>
      </c>
      <c r="R14" s="30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34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45"/>
      <c r="BD14" s="48"/>
      <c r="BE14" s="45"/>
    </row>
    <row r="15" spans="1:67" x14ac:dyDescent="0.25">
      <c r="A15" s="101" t="s">
        <v>86</v>
      </c>
      <c r="B15" s="60">
        <v>43514</v>
      </c>
      <c r="C15" s="60">
        <v>43516</v>
      </c>
      <c r="D15" s="50">
        <v>1.9E-2</v>
      </c>
      <c r="E15" s="59" t="s">
        <v>28</v>
      </c>
      <c r="F15" s="90">
        <v>0.78742384682332456</v>
      </c>
      <c r="G15" s="90">
        <v>0.86892702088071117</v>
      </c>
      <c r="H15" s="61" t="s">
        <v>13</v>
      </c>
      <c r="I15" s="61" t="s">
        <v>13</v>
      </c>
      <c r="J15" s="61" t="s">
        <v>15</v>
      </c>
      <c r="K15" s="61" t="s">
        <v>13</v>
      </c>
      <c r="L15" s="63" t="s">
        <v>13</v>
      </c>
      <c r="M15" s="61" t="s">
        <v>13</v>
      </c>
      <c r="N15" s="61" t="s">
        <v>13</v>
      </c>
      <c r="O15" s="61" t="s">
        <v>13</v>
      </c>
      <c r="P15" s="61" t="s">
        <v>13</v>
      </c>
      <c r="Q15" s="63" t="s">
        <v>13</v>
      </c>
      <c r="R15" s="30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34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45"/>
      <c r="BD15" s="48"/>
      <c r="BE15" s="45"/>
    </row>
    <row r="16" spans="1:67" x14ac:dyDescent="0.25">
      <c r="D16" s="57"/>
      <c r="E16" s="57"/>
      <c r="F16" s="59"/>
      <c r="G16" s="71" t="s">
        <v>75</v>
      </c>
      <c r="H16" s="59">
        <v>0.33</v>
      </c>
      <c r="I16" s="59">
        <v>0.33</v>
      </c>
      <c r="J16" s="59">
        <v>0.33</v>
      </c>
      <c r="K16" s="59">
        <v>0.33</v>
      </c>
      <c r="L16" s="59">
        <v>0.33</v>
      </c>
      <c r="M16" s="59">
        <v>0.67</v>
      </c>
      <c r="N16" s="59">
        <v>0.33</v>
      </c>
      <c r="O16" s="59">
        <v>0.33</v>
      </c>
      <c r="P16" s="59">
        <v>0.33</v>
      </c>
      <c r="Q16" s="59">
        <v>0.33</v>
      </c>
      <c r="AD16" s="102"/>
      <c r="AE16" s="102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9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</row>
    <row r="17" spans="1:57" x14ac:dyDescent="0.25">
      <c r="D17" s="81"/>
      <c r="E17" s="57"/>
      <c r="F17" s="59"/>
      <c r="G17" s="71" t="s">
        <v>78</v>
      </c>
      <c r="H17" s="59">
        <v>1</v>
      </c>
      <c r="I17" s="59">
        <v>1</v>
      </c>
      <c r="J17" s="59">
        <v>1</v>
      </c>
      <c r="K17" s="59">
        <v>1</v>
      </c>
      <c r="L17" s="59">
        <v>1</v>
      </c>
      <c r="M17" s="59">
        <v>2</v>
      </c>
      <c r="N17" s="59">
        <v>1</v>
      </c>
      <c r="O17" s="59">
        <v>1</v>
      </c>
      <c r="P17" s="59">
        <v>1</v>
      </c>
      <c r="Q17" s="59">
        <v>1</v>
      </c>
      <c r="AD17" s="102"/>
      <c r="AE17" s="102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</row>
    <row r="18" spans="1:57" x14ac:dyDescent="0.25">
      <c r="A18" s="69" t="s">
        <v>72</v>
      </c>
      <c r="D18" s="85"/>
      <c r="F18" s="92"/>
      <c r="G18" s="86"/>
      <c r="H18" s="86"/>
      <c r="I18" s="86"/>
      <c r="AD18" s="102"/>
      <c r="AE18" s="102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</row>
    <row r="19" spans="1:57" ht="14.25" customHeight="1" x14ac:dyDescent="0.25">
      <c r="A19" s="69" t="s">
        <v>73</v>
      </c>
      <c r="D19" s="87"/>
      <c r="F19" s="88"/>
      <c r="G19" s="86"/>
      <c r="H19" s="86"/>
      <c r="I19" s="86"/>
      <c r="AD19" s="102"/>
      <c r="AE19" s="103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</row>
    <row r="20" spans="1:57" x14ac:dyDescent="0.25">
      <c r="A20" s="69" t="s">
        <v>68</v>
      </c>
      <c r="D20" s="87"/>
      <c r="F20" s="88"/>
      <c r="G20" s="86"/>
      <c r="H20" s="86"/>
      <c r="I20" s="86"/>
      <c r="AD20" s="102"/>
      <c r="AE20" s="46"/>
      <c r="AF20" s="46"/>
      <c r="AG20" s="46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</row>
    <row r="21" spans="1:57" x14ac:dyDescent="0.25">
      <c r="A21" s="69" t="s">
        <v>69</v>
      </c>
      <c r="F21" s="93"/>
      <c r="G21" s="72"/>
      <c r="I21" s="94"/>
      <c r="AE21" s="46"/>
      <c r="AF21" s="46"/>
      <c r="AG21" s="46"/>
    </row>
    <row r="22" spans="1:57" x14ac:dyDescent="0.25">
      <c r="A22" s="69" t="s">
        <v>76</v>
      </c>
      <c r="F22" s="93"/>
      <c r="G22" s="72"/>
      <c r="I22" s="95"/>
      <c r="AE22" s="46"/>
      <c r="AF22" s="46"/>
      <c r="AG22" s="46"/>
    </row>
    <row r="23" spans="1:57" x14ac:dyDescent="0.25">
      <c r="A23" s="69" t="s">
        <v>77</v>
      </c>
      <c r="F23" s="93"/>
      <c r="G23" s="73"/>
      <c r="I23" s="94"/>
      <c r="AE23" s="46"/>
      <c r="AF23" s="46"/>
      <c r="AG23" s="46"/>
    </row>
    <row r="24" spans="1:57" x14ac:dyDescent="0.25">
      <c r="A24" s="69" t="s">
        <v>74</v>
      </c>
      <c r="F24" s="93"/>
      <c r="G24" s="72"/>
      <c r="I24" s="94"/>
      <c r="AE24" s="46"/>
      <c r="AF24" s="46"/>
      <c r="AG24" s="46"/>
    </row>
    <row r="25" spans="1:57" x14ac:dyDescent="0.25">
      <c r="F25" s="93"/>
      <c r="G25" s="72"/>
      <c r="I25" s="95"/>
      <c r="AE25" s="46"/>
      <c r="AF25" s="46"/>
      <c r="AG25" s="46"/>
    </row>
    <row r="26" spans="1:57" x14ac:dyDescent="0.25">
      <c r="F26" s="93"/>
      <c r="G26" s="72"/>
      <c r="I26" s="94"/>
      <c r="AE26" s="46"/>
      <c r="AF26" s="46"/>
      <c r="AG26" s="46"/>
    </row>
    <row r="27" spans="1:57" x14ac:dyDescent="0.25">
      <c r="F27" s="93"/>
      <c r="G27" s="72"/>
      <c r="I27" s="94"/>
      <c r="AE27" s="46"/>
      <c r="AF27" s="46"/>
      <c r="AG27" s="46"/>
    </row>
    <row r="28" spans="1:57" x14ac:dyDescent="0.25">
      <c r="F28" s="93"/>
      <c r="G28" s="72"/>
      <c r="I28" s="94"/>
      <c r="AE28" s="46"/>
      <c r="AF28" s="46"/>
      <c r="AG28" s="46"/>
    </row>
    <row r="29" spans="1:57" x14ac:dyDescent="0.25">
      <c r="F29" s="93"/>
      <c r="G29" s="72"/>
      <c r="I29" s="94"/>
      <c r="AE29" s="46"/>
      <c r="AF29" s="46"/>
      <c r="AG29" s="46"/>
    </row>
    <row r="30" spans="1:57" x14ac:dyDescent="0.25">
      <c r="F30" s="93"/>
      <c r="G30" s="72"/>
      <c r="I30" s="94"/>
      <c r="AE30" s="46"/>
      <c r="AF30" s="46"/>
      <c r="AG30" s="46"/>
    </row>
    <row r="31" spans="1:57" x14ac:dyDescent="0.25">
      <c r="F31" s="93"/>
      <c r="G31" s="72"/>
      <c r="I31" s="94"/>
      <c r="AE31" s="46"/>
      <c r="AF31" s="46"/>
      <c r="AG31" s="46"/>
    </row>
    <row r="32" spans="1:57" x14ac:dyDescent="0.25">
      <c r="F32" s="93"/>
      <c r="G32" s="74"/>
      <c r="I32" s="94"/>
      <c r="AE32" s="32"/>
      <c r="AF32" s="32"/>
    </row>
    <row r="33" spans="6:7" x14ac:dyDescent="0.25">
      <c r="F33" s="93"/>
      <c r="G33" s="72"/>
    </row>
    <row r="34" spans="6:7" x14ac:dyDescent="0.25">
      <c r="F34" s="93"/>
      <c r="G34" s="72"/>
    </row>
    <row r="35" spans="6:7" x14ac:dyDescent="0.25">
      <c r="F35" s="93"/>
      <c r="G35" s="72"/>
    </row>
    <row r="36" spans="6:7" x14ac:dyDescent="0.25">
      <c r="F36" s="93"/>
      <c r="G36" s="72"/>
    </row>
    <row r="37" spans="6:7" x14ac:dyDescent="0.25">
      <c r="F37" s="93"/>
      <c r="G37" s="72"/>
    </row>
  </sheetData>
  <sortState ref="A2:E14">
    <sortCondition ref="C2:C14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1"/>
  <sheetViews>
    <sheetView workbookViewId="0">
      <selection activeCell="C3" sqref="C3"/>
    </sheetView>
  </sheetViews>
  <sheetFormatPr defaultRowHeight="15" x14ac:dyDescent="0.25"/>
  <cols>
    <col min="1" max="1" width="26.42578125" customWidth="1"/>
    <col min="2" max="10" width="11.28515625" customWidth="1"/>
    <col min="11" max="13" width="11.28515625" style="9" customWidth="1"/>
    <col min="14" max="16" width="11.28515625" customWidth="1"/>
  </cols>
  <sheetData>
    <row r="1" spans="1:22" x14ac:dyDescent="0.25">
      <c r="A1" s="44" t="s">
        <v>52</v>
      </c>
      <c r="B1" s="12">
        <v>43124</v>
      </c>
      <c r="C1" s="12">
        <v>43124</v>
      </c>
      <c r="D1" s="12">
        <v>43124</v>
      </c>
      <c r="E1" s="12" t="s">
        <v>36</v>
      </c>
      <c r="F1" s="12" t="s">
        <v>36</v>
      </c>
      <c r="G1" s="12" t="s">
        <v>36</v>
      </c>
      <c r="H1" s="12">
        <v>43326</v>
      </c>
      <c r="I1" s="12">
        <v>43326</v>
      </c>
      <c r="J1" s="12">
        <v>43326</v>
      </c>
      <c r="K1" s="12">
        <v>43451</v>
      </c>
      <c r="L1" s="12">
        <v>43451</v>
      </c>
      <c r="M1" s="12">
        <v>43451</v>
      </c>
      <c r="N1" s="12">
        <v>43516</v>
      </c>
      <c r="O1" s="12">
        <v>43516</v>
      </c>
      <c r="P1" s="12">
        <v>43516</v>
      </c>
    </row>
    <row r="2" spans="1:22" ht="45" x14ac:dyDescent="0.25">
      <c r="A2" s="2" t="s">
        <v>1</v>
      </c>
      <c r="B2" s="3" t="s">
        <v>31</v>
      </c>
      <c r="C2" s="3" t="s">
        <v>32</v>
      </c>
      <c r="D2" s="40" t="s">
        <v>49</v>
      </c>
      <c r="E2" s="3" t="s">
        <v>31</v>
      </c>
      <c r="F2" s="3" t="s">
        <v>32</v>
      </c>
      <c r="G2" s="40" t="s">
        <v>49</v>
      </c>
      <c r="H2" s="3" t="s">
        <v>31</v>
      </c>
      <c r="I2" s="3" t="s">
        <v>32</v>
      </c>
      <c r="J2" s="40" t="s">
        <v>49</v>
      </c>
      <c r="K2" s="3" t="s">
        <v>31</v>
      </c>
      <c r="L2" s="3" t="s">
        <v>32</v>
      </c>
      <c r="M2" s="40" t="s">
        <v>49</v>
      </c>
      <c r="N2" s="3" t="s">
        <v>31</v>
      </c>
      <c r="O2" s="3" t="s">
        <v>32</v>
      </c>
      <c r="P2" s="40" t="s">
        <v>49</v>
      </c>
      <c r="Q2" s="11"/>
      <c r="R2" s="11"/>
      <c r="S2" s="11"/>
      <c r="T2" s="11"/>
      <c r="U2" s="11"/>
      <c r="V2" s="11"/>
    </row>
    <row r="3" spans="1:22" x14ac:dyDescent="0.25">
      <c r="A3" s="2" t="s">
        <v>65</v>
      </c>
      <c r="B3" s="13" t="s">
        <v>33</v>
      </c>
      <c r="C3" s="13" t="s">
        <v>33</v>
      </c>
      <c r="D3" s="3" t="s">
        <v>3</v>
      </c>
      <c r="E3" s="13" t="s">
        <v>33</v>
      </c>
      <c r="F3" s="13" t="s">
        <v>33</v>
      </c>
      <c r="G3" s="13" t="s">
        <v>12</v>
      </c>
      <c r="H3" s="13" t="s">
        <v>33</v>
      </c>
      <c r="I3" s="13" t="s">
        <v>33</v>
      </c>
      <c r="J3" s="13" t="s">
        <v>12</v>
      </c>
      <c r="K3" s="13" t="s">
        <v>33</v>
      </c>
      <c r="L3" s="13" t="s">
        <v>33</v>
      </c>
      <c r="M3" s="13" t="s">
        <v>12</v>
      </c>
      <c r="N3" s="13" t="s">
        <v>33</v>
      </c>
      <c r="O3" s="13" t="s">
        <v>33</v>
      </c>
      <c r="P3" s="13" t="s">
        <v>12</v>
      </c>
      <c r="Q3" s="11"/>
      <c r="R3" s="11"/>
      <c r="S3" s="11"/>
      <c r="T3" s="11"/>
      <c r="U3" s="11"/>
      <c r="V3" s="11"/>
    </row>
    <row r="4" spans="1:22" x14ac:dyDescent="0.25">
      <c r="A4" s="2" t="s">
        <v>34</v>
      </c>
      <c r="B4" s="13">
        <v>0.92941010043853456</v>
      </c>
      <c r="C4" s="13">
        <v>0.80690338095911729</v>
      </c>
      <c r="D4" s="13">
        <v>0.14111129216229437</v>
      </c>
      <c r="E4" s="13">
        <v>0.77675616035307105</v>
      </c>
      <c r="F4" s="13">
        <v>0.87434105676106411</v>
      </c>
      <c r="G4" s="13">
        <v>0.11820611820611811</v>
      </c>
      <c r="H4" s="13">
        <v>1.0177986615406522</v>
      </c>
      <c r="I4" s="13">
        <v>0.94631923679339303</v>
      </c>
      <c r="J4" s="13">
        <v>7.2785268957517968E-2</v>
      </c>
      <c r="K4" s="13">
        <v>0.85196933650541895</v>
      </c>
      <c r="L4" s="41">
        <v>0.85699180544541376</v>
      </c>
      <c r="M4" s="13">
        <v>5.8778035576180516E-3</v>
      </c>
      <c r="N4" s="13">
        <v>0.85966057441253263</v>
      </c>
      <c r="O4" s="13">
        <v>0.77436901653611845</v>
      </c>
      <c r="P4" s="13">
        <v>0.1043941411451397</v>
      </c>
      <c r="Q4" s="14"/>
      <c r="R4" s="14"/>
      <c r="S4" s="14"/>
      <c r="T4" s="14"/>
      <c r="U4" s="14"/>
      <c r="V4" s="14"/>
    </row>
    <row r="5" spans="1:22" x14ac:dyDescent="0.25">
      <c r="A5" s="2" t="s">
        <v>35</v>
      </c>
      <c r="B5" s="13">
        <v>0.9160098522167488</v>
      </c>
      <c r="C5" s="13">
        <v>0.88128078817734001</v>
      </c>
      <c r="D5" s="13">
        <v>3.8646018911881505E-2</v>
      </c>
      <c r="E5" s="13">
        <v>0.84056533597818006</v>
      </c>
      <c r="F5" s="13">
        <v>0.90924869823952403</v>
      </c>
      <c r="G5" s="13">
        <v>7.8503613433470384E-2</v>
      </c>
      <c r="H5" s="13">
        <v>0.9710798620323694</v>
      </c>
      <c r="I5" s="13">
        <v>0.99336694083311228</v>
      </c>
      <c r="J5" s="13">
        <v>2.2690437601296569E-2</v>
      </c>
      <c r="K5" s="13">
        <v>0.96023772463563051</v>
      </c>
      <c r="L5" s="13">
        <v>1.0083486627989249</v>
      </c>
      <c r="M5" s="13">
        <v>4.8878665899942678E-2</v>
      </c>
      <c r="N5" s="13">
        <v>0.87450899317758923</v>
      </c>
      <c r="O5" s="13">
        <v>0.83212735166425467</v>
      </c>
      <c r="P5" s="13">
        <v>4.9666868564506195E-2</v>
      </c>
      <c r="Q5" s="14"/>
      <c r="R5" s="14"/>
      <c r="S5" s="14"/>
      <c r="T5" s="14"/>
      <c r="U5" s="14"/>
      <c r="V5" s="14"/>
    </row>
    <row r="6" spans="1:22" x14ac:dyDescent="0.25">
      <c r="A6" s="2" t="s">
        <v>66</v>
      </c>
      <c r="B6" s="13" t="s">
        <v>33</v>
      </c>
      <c r="C6" s="13" t="s">
        <v>33</v>
      </c>
      <c r="D6" s="13" t="s">
        <v>3</v>
      </c>
      <c r="E6" s="13" t="s">
        <v>33</v>
      </c>
      <c r="F6" s="13" t="s">
        <v>33</v>
      </c>
      <c r="G6" s="13" t="s">
        <v>12</v>
      </c>
      <c r="H6" s="13" t="s">
        <v>33</v>
      </c>
      <c r="I6" s="13" t="s">
        <v>33</v>
      </c>
      <c r="J6" s="13" t="s">
        <v>12</v>
      </c>
      <c r="K6" s="13" t="s">
        <v>33</v>
      </c>
      <c r="L6" s="13" t="s">
        <v>33</v>
      </c>
      <c r="M6" s="13" t="s">
        <v>12</v>
      </c>
      <c r="N6" s="13" t="s">
        <v>33</v>
      </c>
      <c r="O6" s="13" t="s">
        <v>33</v>
      </c>
      <c r="P6" s="13" t="s">
        <v>12</v>
      </c>
    </row>
    <row r="7" spans="1:22" x14ac:dyDescent="0.25">
      <c r="A7" s="2" t="s">
        <v>4</v>
      </c>
      <c r="B7" s="13">
        <v>0.84486248362900329</v>
      </c>
      <c r="C7" s="13">
        <v>0.86891296582926536</v>
      </c>
      <c r="D7" s="13">
        <v>2.8067250243157028E-2</v>
      </c>
      <c r="E7" s="13">
        <v>0.7188651816343592</v>
      </c>
      <c r="F7" s="13">
        <v>0.73468328782693582</v>
      </c>
      <c r="G7" s="13">
        <v>2.1764814211443568E-2</v>
      </c>
      <c r="H7" s="13">
        <v>0.93913277673040674</v>
      </c>
      <c r="I7" s="13">
        <v>0.99245892809049308</v>
      </c>
      <c r="J7" s="13">
        <v>5.5214723926380514E-2</v>
      </c>
      <c r="K7" s="13">
        <v>1.047535724701079</v>
      </c>
      <c r="L7" s="13">
        <v>0.97423933119471173</v>
      </c>
      <c r="M7" s="13">
        <v>7.2506971824213895E-2</v>
      </c>
      <c r="N7" s="13">
        <v>0.84425909031669499</v>
      </c>
      <c r="O7" s="13">
        <v>0.80542160823667408</v>
      </c>
      <c r="P7" s="13">
        <v>4.7084847527255565E-2</v>
      </c>
      <c r="Q7" s="14"/>
      <c r="R7" s="14"/>
      <c r="S7" s="14"/>
      <c r="T7" s="14"/>
      <c r="U7" s="14"/>
      <c r="V7" s="14"/>
    </row>
    <row r="8" spans="1:22" x14ac:dyDescent="0.25">
      <c r="A8" s="2" t="s">
        <v>5</v>
      </c>
      <c r="B8" s="13">
        <v>0.83411750512727711</v>
      </c>
      <c r="C8" s="13">
        <v>0.84014959584992155</v>
      </c>
      <c r="D8" s="13">
        <v>7.2056492289954924E-3</v>
      </c>
      <c r="E8" s="13">
        <v>0.78178562292146314</v>
      </c>
      <c r="F8" s="13">
        <v>0.83908928114607306</v>
      </c>
      <c r="G8" s="13">
        <v>7.0707070707070774E-2</v>
      </c>
      <c r="H8" s="13">
        <v>0.95691853442490948</v>
      </c>
      <c r="I8" s="13">
        <v>1.5455643537780166</v>
      </c>
      <c r="J8" s="13">
        <v>0.47044942615038088</v>
      </c>
      <c r="K8" s="13" t="s">
        <v>10</v>
      </c>
      <c r="L8" s="13" t="s">
        <v>10</v>
      </c>
      <c r="M8" s="13" t="s">
        <v>10</v>
      </c>
      <c r="N8" s="13">
        <v>1.071939736346516</v>
      </c>
      <c r="O8" s="13">
        <v>1.0445699937225361</v>
      </c>
      <c r="P8" s="13">
        <v>2.5863091707201264E-2</v>
      </c>
      <c r="Q8" s="14"/>
      <c r="R8" s="14"/>
      <c r="S8" s="14"/>
      <c r="T8" s="14"/>
      <c r="U8" s="14"/>
      <c r="V8" s="14"/>
    </row>
    <row r="9" spans="1:22" x14ac:dyDescent="0.25">
      <c r="A9" s="2" t="s">
        <v>67</v>
      </c>
      <c r="B9" s="13">
        <v>0.86033519553072624</v>
      </c>
      <c r="C9" s="13">
        <v>0.87320864707311152</v>
      </c>
      <c r="D9" s="13">
        <v>1.4852178786605075E-2</v>
      </c>
      <c r="E9" s="13">
        <v>1.1136350965079078</v>
      </c>
      <c r="F9" s="13">
        <v>1.0835963602018781</v>
      </c>
      <c r="G9" s="13">
        <v>2.7342350496848251E-2</v>
      </c>
      <c r="H9" s="13">
        <v>0.89781323064227747</v>
      </c>
      <c r="I9" s="13">
        <v>0.94237381378077278</v>
      </c>
      <c r="J9" s="13">
        <v>4.843049327354252E-2</v>
      </c>
      <c r="K9" s="13">
        <v>0.83526593195975085</v>
      </c>
      <c r="L9" s="13">
        <v>0.86516530905606137</v>
      </c>
      <c r="M9" s="13">
        <v>3.5166816952209225E-2</v>
      </c>
      <c r="N9" s="13">
        <v>0.82501356483993493</v>
      </c>
      <c r="O9" s="13">
        <v>0.78974498100922408</v>
      </c>
      <c r="P9" s="13">
        <v>4.3682795698924803E-2</v>
      </c>
      <c r="Q9" s="14"/>
      <c r="R9" s="14"/>
      <c r="S9" s="14"/>
      <c r="T9" s="14"/>
      <c r="U9" s="14"/>
      <c r="V9" s="14"/>
    </row>
    <row r="10" spans="1:22" x14ac:dyDescent="0.25">
      <c r="A10" s="2" t="s">
        <v>7</v>
      </c>
      <c r="B10" s="13">
        <v>0.93713592233009702</v>
      </c>
      <c r="C10" s="13">
        <v>0.87038834951456301</v>
      </c>
      <c r="D10" s="13">
        <v>7.3855243722304315E-2</v>
      </c>
      <c r="E10" s="13">
        <v>0.8167129512749306</v>
      </c>
      <c r="F10" s="13">
        <v>0.80989649078515524</v>
      </c>
      <c r="G10" s="13">
        <v>8.3811888871644213E-3</v>
      </c>
      <c r="H10" s="13">
        <v>0.95763973474083097</v>
      </c>
      <c r="I10" s="13">
        <v>0.99796995533901733</v>
      </c>
      <c r="J10" s="13">
        <v>4.1245674740484295E-2</v>
      </c>
      <c r="K10" s="13">
        <v>0.95291393284446169</v>
      </c>
      <c r="L10" s="13">
        <v>0.94442300270165958</v>
      </c>
      <c r="M10" s="13">
        <v>8.9503661513426654E-3</v>
      </c>
      <c r="N10" s="13">
        <v>0.74553343542623796</v>
      </c>
      <c r="O10" s="13">
        <v>0.70342011230219492</v>
      </c>
      <c r="P10" s="13">
        <v>5.8129293641007794E-2</v>
      </c>
      <c r="Q10" s="14"/>
      <c r="R10" s="14"/>
      <c r="S10" s="14"/>
      <c r="T10" s="14"/>
      <c r="U10" s="14"/>
      <c r="V10" s="14"/>
    </row>
    <row r="11" spans="1:22" x14ac:dyDescent="0.25">
      <c r="A11" s="2" t="s">
        <v>47</v>
      </c>
      <c r="B11" s="13">
        <v>0.86467611454872073</v>
      </c>
      <c r="C11" s="13">
        <v>0.76166210710469773</v>
      </c>
      <c r="D11" s="13">
        <v>0.12668214529114824</v>
      </c>
      <c r="E11" s="13">
        <v>0.71842092967991644</v>
      </c>
      <c r="F11" s="13">
        <v>0.68069679674881889</v>
      </c>
      <c r="G11" s="13">
        <v>5.3925602139841163E-2</v>
      </c>
      <c r="H11" s="13">
        <v>0.7918789347522589</v>
      </c>
      <c r="I11" s="13">
        <v>0.93137792060690694</v>
      </c>
      <c r="J11" s="13">
        <v>0.16190155915622143</v>
      </c>
      <c r="K11" s="13">
        <v>0.90316754054699255</v>
      </c>
      <c r="L11" s="13">
        <v>0.79385532223318367</v>
      </c>
      <c r="M11" s="13">
        <v>0.12882822112923842</v>
      </c>
      <c r="N11" s="13">
        <v>0.88391682021584617</v>
      </c>
      <c r="O11" s="13">
        <v>0.81755198736509604</v>
      </c>
      <c r="P11" s="13">
        <v>7.8008873927114891E-2</v>
      </c>
      <c r="Q11" s="14"/>
      <c r="R11" s="14"/>
      <c r="S11" s="14"/>
      <c r="T11" s="14"/>
      <c r="U11" s="14"/>
      <c r="V11" s="14"/>
    </row>
    <row r="12" spans="1:22" x14ac:dyDescent="0.25">
      <c r="A12" s="2" t="s">
        <v>48</v>
      </c>
      <c r="B12" s="13">
        <v>0.92562281078646502</v>
      </c>
      <c r="C12" s="13">
        <v>0.95876728120194232</v>
      </c>
      <c r="D12" s="13">
        <v>5.4320208505639095E-2</v>
      </c>
      <c r="E12" s="13">
        <v>1.0460768777977558</v>
      </c>
      <c r="F12" s="13">
        <v>0.96219363925483314</v>
      </c>
      <c r="G12" s="13">
        <v>0.11097557881295614</v>
      </c>
      <c r="H12" s="13">
        <v>0.98783223647439666</v>
      </c>
      <c r="I12" s="13">
        <v>0.98783223647439666</v>
      </c>
      <c r="J12" s="13">
        <v>1.9158918234843135E-2</v>
      </c>
      <c r="K12" s="13">
        <v>1.0511293914466209</v>
      </c>
      <c r="L12" s="13">
        <v>1.1356633186383676</v>
      </c>
      <c r="M12" s="13">
        <v>7.7313159863662897E-2</v>
      </c>
      <c r="N12" s="13">
        <v>0.94903720862892726</v>
      </c>
      <c r="O12" s="13">
        <v>0.90878818589836408</v>
      </c>
      <c r="P12" s="13">
        <v>4.3329177057356595E-2</v>
      </c>
      <c r="Q12" s="14"/>
      <c r="R12" s="14"/>
      <c r="S12" s="14"/>
      <c r="T12" s="14"/>
      <c r="U12" s="14"/>
      <c r="V12" s="14"/>
    </row>
    <row r="13" spans="1:22" x14ac:dyDescent="0.25">
      <c r="A13" s="2" t="s">
        <v>63</v>
      </c>
      <c r="B13" s="13">
        <v>1.0326349206349206</v>
      </c>
      <c r="C13" s="13">
        <v>1.0402539682539682</v>
      </c>
      <c r="D13" s="13">
        <v>7.3511394266111427E-3</v>
      </c>
      <c r="E13" s="13">
        <v>0.76087821514850074</v>
      </c>
      <c r="F13" s="13">
        <v>0.72568691538005003</v>
      </c>
      <c r="G13" s="13">
        <v>4.7345789357965601E-2</v>
      </c>
      <c r="H13" s="13">
        <v>0.84886072536065793</v>
      </c>
      <c r="I13" s="13">
        <v>0.92220574356208718</v>
      </c>
      <c r="J13" s="13">
        <v>8.2825822168087801E-2</v>
      </c>
      <c r="K13" s="13">
        <v>1.0301423662248406</v>
      </c>
      <c r="L13" s="13">
        <v>0.95552282768777608</v>
      </c>
      <c r="M13" s="13">
        <v>7.5158227848101444E-2</v>
      </c>
      <c r="N13" s="13">
        <v>0.86740759886275531</v>
      </c>
      <c r="O13" s="13">
        <v>0.84440423882140092</v>
      </c>
      <c r="P13" s="13">
        <v>2.6876038049222447E-2</v>
      </c>
      <c r="Q13" s="14"/>
      <c r="R13" s="14"/>
      <c r="S13" s="14"/>
      <c r="T13" s="14"/>
      <c r="U13" s="14"/>
      <c r="V13" s="14"/>
    </row>
    <row r="14" spans="1:22" x14ac:dyDescent="0.25">
      <c r="A14" s="2" t="s">
        <v>64</v>
      </c>
      <c r="B14" s="13">
        <v>0.85274726311037041</v>
      </c>
      <c r="C14" s="13">
        <v>0.93526358660736497</v>
      </c>
      <c r="D14" s="13">
        <v>9.229957805907163E-2</v>
      </c>
      <c r="E14" s="13">
        <v>0.82327066595978959</v>
      </c>
      <c r="F14" s="13">
        <v>0.79306879817299469</v>
      </c>
      <c r="G14" s="13">
        <v>3.7370698986180027E-2</v>
      </c>
      <c r="H14" s="13">
        <v>1.0388607931860527</v>
      </c>
      <c r="I14" s="13">
        <v>1.0423210007985093</v>
      </c>
      <c r="J14" s="13">
        <v>3.3252334058062067E-3</v>
      </c>
      <c r="K14" s="13">
        <v>1.1032342986084995</v>
      </c>
      <c r="L14" s="13">
        <v>1.0502068446784505</v>
      </c>
      <c r="M14" s="13">
        <v>4.9249039469088499E-2</v>
      </c>
      <c r="N14" s="13">
        <v>0.91522285411982529</v>
      </c>
      <c r="O14" s="13">
        <v>0.88215844465017845</v>
      </c>
      <c r="P14" s="13">
        <v>3.6791758646063245E-2</v>
      </c>
      <c r="Q14" s="14"/>
      <c r="R14" s="14"/>
      <c r="S14" s="14"/>
      <c r="T14" s="14"/>
      <c r="U14" s="14"/>
      <c r="V14" s="14"/>
    </row>
    <row r="15" spans="1:22" x14ac:dyDescent="0.25">
      <c r="A15" s="2" t="s">
        <v>8</v>
      </c>
      <c r="B15" s="13">
        <v>0.82697757305456654</v>
      </c>
      <c r="C15" s="13">
        <v>0.848549461961977</v>
      </c>
      <c r="D15" s="13">
        <v>2.5749377308253898E-2</v>
      </c>
      <c r="E15" s="13">
        <v>0.84582877065635209</v>
      </c>
      <c r="F15" s="13">
        <v>0.79991700332101956</v>
      </c>
      <c r="G15" s="13">
        <v>5.5794483037771785E-2</v>
      </c>
      <c r="H15" s="13">
        <v>0.89423493087521211</v>
      </c>
      <c r="I15" s="13">
        <v>0.97507982008743044</v>
      </c>
      <c r="J15" s="13">
        <v>8.6496818334724612E-2</v>
      </c>
      <c r="K15" s="13">
        <v>1.0156664483301097</v>
      </c>
      <c r="L15" s="13">
        <v>0.9879313027393235</v>
      </c>
      <c r="M15" s="13">
        <v>2.7685343104405406E-2</v>
      </c>
      <c r="N15" s="13">
        <v>0.83576438860580582</v>
      </c>
      <c r="O15" s="13">
        <v>0.85312017840704268</v>
      </c>
      <c r="P15" s="13">
        <v>2.0552961570291652E-2</v>
      </c>
      <c r="Q15" s="14"/>
      <c r="R15" s="14"/>
      <c r="S15" s="14"/>
      <c r="T15" s="14"/>
      <c r="U15" s="14"/>
      <c r="V15" s="14"/>
    </row>
    <row r="16" spans="1:22" x14ac:dyDescent="0.25">
      <c r="A16" s="2" t="s">
        <v>9</v>
      </c>
      <c r="B16" s="13">
        <v>1.1953305280304058</v>
      </c>
      <c r="C16" s="13">
        <v>1.0555178498710467</v>
      </c>
      <c r="D16" s="13">
        <v>0.12423109395730295</v>
      </c>
      <c r="E16" s="13">
        <v>0.81532658263178848</v>
      </c>
      <c r="F16" s="13">
        <v>0.86877342188327333</v>
      </c>
      <c r="G16" s="13">
        <v>6.3472286809802519E-2</v>
      </c>
      <c r="H16" s="13">
        <v>0.81695005313496283</v>
      </c>
      <c r="I16" s="13">
        <v>0.80658873538788523</v>
      </c>
      <c r="J16" s="13">
        <v>1.2763868433971558E-2</v>
      </c>
      <c r="K16" s="13">
        <v>0.87432782314280022</v>
      </c>
      <c r="L16" s="13">
        <v>0.85401314479187418</v>
      </c>
      <c r="M16" s="13">
        <v>2.350772067296604E-2</v>
      </c>
      <c r="N16" s="13">
        <v>0.7710075667064914</v>
      </c>
      <c r="O16" s="13">
        <v>0.88012743926722414</v>
      </c>
      <c r="P16" s="13">
        <v>0.13217559093101783</v>
      </c>
      <c r="Q16" s="14"/>
      <c r="R16" s="14"/>
      <c r="S16" s="14"/>
      <c r="T16" s="14"/>
      <c r="U16" s="14"/>
      <c r="V16" s="14"/>
    </row>
    <row r="17" spans="1:13" x14ac:dyDescent="0.25">
      <c r="K17" s="8"/>
      <c r="L17" s="8"/>
      <c r="M17" s="8"/>
    </row>
    <row r="18" spans="1:13" x14ac:dyDescent="0.25">
      <c r="A18" t="s">
        <v>71</v>
      </c>
    </row>
    <row r="19" spans="1:13" x14ac:dyDescent="0.25">
      <c r="A19" t="s">
        <v>68</v>
      </c>
    </row>
    <row r="20" spans="1:13" x14ac:dyDescent="0.25">
      <c r="A20" t="s">
        <v>69</v>
      </c>
    </row>
    <row r="21" spans="1:13" x14ac:dyDescent="0.25">
      <c r="A21" t="s">
        <v>70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0A581-AB77-4E6E-9058-F9971CBF5B99}">
  <dimension ref="A1:Z142"/>
  <sheetViews>
    <sheetView workbookViewId="0">
      <selection activeCell="A103" sqref="A103"/>
    </sheetView>
  </sheetViews>
  <sheetFormatPr defaultRowHeight="15" x14ac:dyDescent="0.25"/>
  <cols>
    <col min="1" max="1" width="13.7109375" customWidth="1"/>
    <col min="2" max="10" width="11" customWidth="1"/>
    <col min="11" max="11" width="11" style="51" customWidth="1"/>
    <col min="12" max="12" width="11.85546875" style="51" customWidth="1"/>
    <col min="13" max="14" width="11" style="51" customWidth="1"/>
    <col min="15" max="15" width="17.85546875" style="51" customWidth="1"/>
    <col min="16" max="16" width="15.28515625" customWidth="1"/>
    <col min="17" max="17" width="17.42578125" customWidth="1"/>
    <col min="19" max="19" width="11.140625" customWidth="1"/>
    <col min="20" max="20" width="11.28515625" customWidth="1"/>
    <col min="22" max="22" width="11.7109375" customWidth="1"/>
  </cols>
  <sheetData>
    <row r="1" spans="1:19" s="130" customFormat="1" x14ac:dyDescent="0.25">
      <c r="A1" s="129"/>
      <c r="K1" s="153"/>
      <c r="L1" s="153"/>
      <c r="M1" s="153"/>
      <c r="N1" s="153"/>
      <c r="O1" s="153"/>
    </row>
    <row r="2" spans="1:19" s="132" customFormat="1" x14ac:dyDescent="0.25">
      <c r="A2" s="131" t="s">
        <v>210</v>
      </c>
      <c r="K2" s="154"/>
      <c r="L2" s="154"/>
      <c r="M2" s="154"/>
      <c r="N2" s="154"/>
      <c r="O2" s="154"/>
    </row>
    <row r="4" spans="1:19" ht="60" x14ac:dyDescent="0.25">
      <c r="A4" s="3" t="s">
        <v>111</v>
      </c>
      <c r="B4" s="3" t="s">
        <v>112</v>
      </c>
      <c r="C4" s="3" t="s">
        <v>113</v>
      </c>
      <c r="D4" s="3" t="s">
        <v>114</v>
      </c>
      <c r="E4" s="3" t="s">
        <v>115</v>
      </c>
      <c r="F4" s="3" t="s">
        <v>116</v>
      </c>
      <c r="G4" s="3" t="s">
        <v>117</v>
      </c>
      <c r="H4" s="3" t="s">
        <v>119</v>
      </c>
      <c r="I4" s="3" t="s">
        <v>208</v>
      </c>
      <c r="J4" s="3" t="s">
        <v>121</v>
      </c>
      <c r="K4" s="3" t="s">
        <v>209</v>
      </c>
      <c r="L4" s="3" t="s">
        <v>206</v>
      </c>
      <c r="M4" s="3" t="s">
        <v>202</v>
      </c>
      <c r="P4" s="2" t="s">
        <v>191</v>
      </c>
      <c r="Q4" s="2"/>
    </row>
    <row r="5" spans="1:19" x14ac:dyDescent="0.25">
      <c r="A5" s="4" t="s">
        <v>197</v>
      </c>
      <c r="B5" s="4">
        <v>5.1447900000000004</v>
      </c>
      <c r="C5" s="4">
        <v>5.1717500000000003</v>
      </c>
      <c r="D5" s="4">
        <f>C5-B5</f>
        <v>2.6959999999999873E-2</v>
      </c>
      <c r="E5" s="143">
        <f>D5*1000</f>
        <v>26.959999999999873</v>
      </c>
      <c r="F5" s="4">
        <f t="shared" ref="F5:F9" si="0">D5*1000000</f>
        <v>26959.999999999873</v>
      </c>
      <c r="G5" s="4">
        <f>F5/20</f>
        <v>1347.9999999999936</v>
      </c>
      <c r="H5" s="4">
        <v>0.38900000000000001</v>
      </c>
      <c r="I5" s="4">
        <f t="shared" ref="I5:I9" si="1">5*(-0.0058+SQRT(((0.0058)^2)-(4*(((-0.000004))*(0.0021-H5)))))/(2*(((-0.000004))))</f>
        <v>350.47713399341194</v>
      </c>
      <c r="J5" s="144">
        <f>I5/F5</f>
        <v>1.2999893694117715E-2</v>
      </c>
      <c r="K5" s="4">
        <v>2.2120000000000002</v>
      </c>
      <c r="L5" s="155">
        <f>AVERAGE(J5:J9)</f>
        <v>1.6740923580299875E-2</v>
      </c>
      <c r="M5" s="6">
        <f>_xlfn.STDEV.S(J5:J9)/L5</f>
        <v>0.17137664055779023</v>
      </c>
      <c r="P5" s="4" t="s">
        <v>120</v>
      </c>
      <c r="Q5" s="4" t="s">
        <v>119</v>
      </c>
    </row>
    <row r="6" spans="1:19" x14ac:dyDescent="0.25">
      <c r="A6" s="4" t="s">
        <v>201</v>
      </c>
      <c r="B6" s="4">
        <v>5.1589299999999998</v>
      </c>
      <c r="C6" s="4">
        <v>5.1867299999999998</v>
      </c>
      <c r="D6" s="4">
        <f t="shared" ref="D6:D9" si="2">C6-B6</f>
        <v>2.7800000000000047E-2</v>
      </c>
      <c r="E6" s="143">
        <f t="shared" ref="E6:E9" si="3">D6*1000</f>
        <v>27.800000000000047</v>
      </c>
      <c r="F6" s="4">
        <f t="shared" si="0"/>
        <v>27800.000000000047</v>
      </c>
      <c r="G6" s="4">
        <f t="shared" ref="G6:G9" si="4">F6/20</f>
        <v>1390.0000000000023</v>
      </c>
      <c r="H6" s="4">
        <v>0.45100000000000001</v>
      </c>
      <c r="I6" s="4">
        <f t="shared" si="1"/>
        <v>410.19051886429827</v>
      </c>
      <c r="J6" s="144">
        <f t="shared" ref="J6:J7" si="5">I6/F6</f>
        <v>1.4755054635406387E-2</v>
      </c>
      <c r="K6" s="4">
        <v>2.6960000000000002</v>
      </c>
      <c r="L6" s="4"/>
      <c r="M6" s="155">
        <f>M5*L5</f>
        <v>2.8690032430264863E-3</v>
      </c>
      <c r="P6" s="4">
        <v>400</v>
      </c>
      <c r="Q6" s="4">
        <v>1.867</v>
      </c>
    </row>
    <row r="7" spans="1:19" x14ac:dyDescent="0.25">
      <c r="A7" s="4" t="s">
        <v>198</v>
      </c>
      <c r="B7" s="4">
        <v>5.1697800000000003</v>
      </c>
      <c r="C7" s="4">
        <v>5.1900300000000001</v>
      </c>
      <c r="D7" s="4">
        <f t="shared" si="2"/>
        <v>2.0249999999999879E-2</v>
      </c>
      <c r="E7" s="143">
        <f t="shared" si="3"/>
        <v>20.249999999999879</v>
      </c>
      <c r="F7" s="4">
        <f t="shared" si="0"/>
        <v>20249.99999999988</v>
      </c>
      <c r="G7" s="4">
        <f t="shared" si="4"/>
        <v>1012.499999999994</v>
      </c>
      <c r="H7" s="4">
        <v>0.44700000000000001</v>
      </c>
      <c r="I7" s="4">
        <f t="shared" si="1"/>
        <v>406.30461211378383</v>
      </c>
      <c r="J7" s="144">
        <f t="shared" si="5"/>
        <v>2.0064425289569691E-2</v>
      </c>
      <c r="K7" s="4">
        <v>2.6179999999999999</v>
      </c>
      <c r="L7" s="4"/>
      <c r="M7" s="4"/>
      <c r="P7" s="4">
        <v>200</v>
      </c>
      <c r="Q7" s="4">
        <v>0.95</v>
      </c>
    </row>
    <row r="8" spans="1:19" x14ac:dyDescent="0.25">
      <c r="A8" s="4" t="s">
        <v>199</v>
      </c>
      <c r="B8" s="4">
        <v>5.1821999999999999</v>
      </c>
      <c r="C8" s="4">
        <v>5.2044499999999996</v>
      </c>
      <c r="D8" s="4">
        <f t="shared" si="2"/>
        <v>2.2249999999999659E-2</v>
      </c>
      <c r="E8" s="143">
        <f t="shared" si="3"/>
        <v>22.249999999999659</v>
      </c>
      <c r="F8" s="4">
        <f t="shared" si="0"/>
        <v>22249.999999999658</v>
      </c>
      <c r="G8" s="4">
        <f t="shared" si="4"/>
        <v>1112.4999999999829</v>
      </c>
      <c r="H8" s="4">
        <v>0.42299999999999999</v>
      </c>
      <c r="I8" s="4">
        <f t="shared" si="1"/>
        <v>383.08698451053425</v>
      </c>
      <c r="J8" s="144">
        <f>I8/F8</f>
        <v>1.7217392562271467E-2</v>
      </c>
      <c r="K8" s="4">
        <v>2.5</v>
      </c>
      <c r="L8" s="4"/>
      <c r="M8" s="4"/>
      <c r="P8" s="4">
        <v>100</v>
      </c>
      <c r="Q8" s="4">
        <v>0.47599999999999998</v>
      </c>
    </row>
    <row r="9" spans="1:19" x14ac:dyDescent="0.25">
      <c r="A9" s="4" t="s">
        <v>200</v>
      </c>
      <c r="B9" s="4">
        <v>5.2069099999999997</v>
      </c>
      <c r="C9" s="4">
        <v>5.2254800000000001</v>
      </c>
      <c r="D9" s="4">
        <f t="shared" si="2"/>
        <v>1.857000000000042E-2</v>
      </c>
      <c r="E9" s="143">
        <f t="shared" si="3"/>
        <v>18.57000000000042</v>
      </c>
      <c r="F9" s="4">
        <f t="shared" si="0"/>
        <v>18570.000000000418</v>
      </c>
      <c r="G9" s="4">
        <f t="shared" si="4"/>
        <v>928.50000000002092</v>
      </c>
      <c r="H9" s="4">
        <v>0.38500000000000001</v>
      </c>
      <c r="I9" s="4">
        <f t="shared" si="1"/>
        <v>346.66200644289847</v>
      </c>
      <c r="J9" s="144">
        <f t="shared" ref="J9" si="6">I9/F9</f>
        <v>1.8667851720134122E-2</v>
      </c>
      <c r="K9" s="4">
        <v>2.34</v>
      </c>
      <c r="L9" s="4"/>
      <c r="M9" s="4"/>
      <c r="P9" s="4">
        <v>50</v>
      </c>
      <c r="Q9" s="4">
        <v>0.253</v>
      </c>
    </row>
    <row r="10" spans="1:19" x14ac:dyDescent="0.25">
      <c r="K10"/>
      <c r="L10"/>
      <c r="M10"/>
      <c r="P10" s="4">
        <v>10</v>
      </c>
      <c r="Q10" s="4">
        <v>0.10199999999999999</v>
      </c>
    </row>
    <row r="11" spans="1:19" x14ac:dyDescent="0.25">
      <c r="K11"/>
      <c r="L11"/>
      <c r="M11"/>
      <c r="P11" s="4">
        <v>400</v>
      </c>
      <c r="Q11" s="4">
        <v>1.448</v>
      </c>
    </row>
    <row r="12" spans="1:19" x14ac:dyDescent="0.25">
      <c r="K12"/>
      <c r="L12"/>
      <c r="M12"/>
      <c r="P12" s="4">
        <v>200</v>
      </c>
      <c r="Q12" s="4">
        <v>1.1879999999999999</v>
      </c>
    </row>
    <row r="13" spans="1:19" x14ac:dyDescent="0.25">
      <c r="K13"/>
      <c r="L13"/>
      <c r="M13"/>
      <c r="P13" s="4">
        <v>100</v>
      </c>
      <c r="Q13" s="4">
        <v>0.50900000000000001</v>
      </c>
    </row>
    <row r="14" spans="1:19" x14ac:dyDescent="0.25">
      <c r="K14"/>
      <c r="L14"/>
      <c r="M14"/>
      <c r="P14" s="4">
        <v>50</v>
      </c>
      <c r="Q14" s="4">
        <v>0.26100000000000001</v>
      </c>
    </row>
    <row r="15" spans="1:19" x14ac:dyDescent="0.25">
      <c r="K15"/>
      <c r="L15"/>
      <c r="M15"/>
      <c r="P15" s="4">
        <v>10</v>
      </c>
      <c r="Q15" s="4">
        <v>7.0999999999999994E-2</v>
      </c>
    </row>
    <row r="16" spans="1:19" x14ac:dyDescent="0.25">
      <c r="K16"/>
      <c r="L16"/>
      <c r="M16"/>
      <c r="P16" s="4">
        <v>400</v>
      </c>
      <c r="Q16" s="4">
        <v>1.7310000000000001</v>
      </c>
      <c r="S16" t="s">
        <v>203</v>
      </c>
    </row>
    <row r="17" spans="1:26" x14ac:dyDescent="0.25">
      <c r="K17"/>
      <c r="L17"/>
      <c r="M17"/>
      <c r="P17" s="4">
        <v>200</v>
      </c>
      <c r="Q17" s="4">
        <v>0.94499999999999995</v>
      </c>
      <c r="S17" t="s">
        <v>204</v>
      </c>
    </row>
    <row r="18" spans="1:26" x14ac:dyDescent="0.25">
      <c r="K18"/>
      <c r="L18"/>
      <c r="M18"/>
      <c r="P18" s="4">
        <v>100</v>
      </c>
      <c r="Q18" s="4">
        <v>0.53200000000000003</v>
      </c>
      <c r="S18" t="s">
        <v>205</v>
      </c>
    </row>
    <row r="19" spans="1:26" x14ac:dyDescent="0.25">
      <c r="K19"/>
      <c r="L19"/>
      <c r="M19"/>
      <c r="P19" s="4">
        <v>50</v>
      </c>
      <c r="Q19" s="4">
        <v>0.27600000000000002</v>
      </c>
    </row>
    <row r="20" spans="1:26" x14ac:dyDescent="0.25">
      <c r="K20"/>
      <c r="L20"/>
      <c r="M20"/>
      <c r="P20" s="4">
        <v>10</v>
      </c>
      <c r="Q20" s="4">
        <v>6.3E-2</v>
      </c>
    </row>
    <row r="21" spans="1:26" x14ac:dyDescent="0.25">
      <c r="K21"/>
      <c r="L21"/>
      <c r="M21"/>
    </row>
    <row r="26" spans="1:26" s="130" customFormat="1" x14ac:dyDescent="0.25">
      <c r="A26" s="129"/>
    </row>
    <row r="27" spans="1:26" s="132" customFormat="1" x14ac:dyDescent="0.25">
      <c r="A27" s="131" t="s">
        <v>166</v>
      </c>
    </row>
    <row r="28" spans="1:26" x14ac:dyDescent="0.25">
      <c r="K28"/>
      <c r="L28"/>
      <c r="M28"/>
      <c r="N28"/>
      <c r="O28"/>
    </row>
    <row r="29" spans="1:26" x14ac:dyDescent="0.25">
      <c r="A29" s="119" t="s">
        <v>124</v>
      </c>
      <c r="B29" s="119" t="s">
        <v>125</v>
      </c>
      <c r="C29" s="119"/>
      <c r="D29" s="119"/>
      <c r="E29" s="119"/>
      <c r="F29" s="119"/>
      <c r="G29" s="119"/>
      <c r="H29" s="119"/>
      <c r="I29" s="119"/>
      <c r="J29" s="119"/>
      <c r="K29" s="119" t="s">
        <v>126</v>
      </c>
      <c r="L29" s="119"/>
      <c r="M29" s="120"/>
      <c r="N29" s="119"/>
      <c r="O29" s="119"/>
      <c r="P29" s="51"/>
      <c r="Q29" s="115"/>
      <c r="R29" s="115"/>
      <c r="S29" s="139" t="s">
        <v>191</v>
      </c>
      <c r="T29" s="123"/>
      <c r="U29" s="115"/>
      <c r="V29" s="115"/>
      <c r="W29" s="115"/>
      <c r="X29" s="115"/>
      <c r="Y29" s="115"/>
      <c r="Z29" s="115"/>
    </row>
    <row r="30" spans="1:26" ht="75" x14ac:dyDescent="0.25">
      <c r="A30" s="121" t="s">
        <v>111</v>
      </c>
      <c r="B30" s="122" t="s">
        <v>112</v>
      </c>
      <c r="C30" s="122" t="s">
        <v>113</v>
      </c>
      <c r="D30" s="122" t="s">
        <v>114</v>
      </c>
      <c r="E30" s="122" t="s">
        <v>115</v>
      </c>
      <c r="F30" s="122" t="s">
        <v>116</v>
      </c>
      <c r="G30" s="122" t="s">
        <v>117</v>
      </c>
      <c r="H30" s="122" t="s">
        <v>118</v>
      </c>
      <c r="I30" s="122" t="s">
        <v>119</v>
      </c>
      <c r="J30" s="122" t="s">
        <v>120</v>
      </c>
      <c r="K30" s="122" t="s">
        <v>114</v>
      </c>
      <c r="L30" s="122" t="s">
        <v>117</v>
      </c>
      <c r="M30" s="122" t="s">
        <v>127</v>
      </c>
      <c r="N30" s="122" t="s">
        <v>128</v>
      </c>
      <c r="O30" s="123"/>
      <c r="P30" s="115"/>
      <c r="Q30" s="51"/>
      <c r="R30" s="51"/>
      <c r="S30" s="124" t="s">
        <v>120</v>
      </c>
      <c r="T30" s="124" t="s">
        <v>119</v>
      </c>
      <c r="U30" s="51"/>
      <c r="V30" s="51"/>
      <c r="W30" s="51"/>
      <c r="X30" s="51"/>
      <c r="Y30" s="51"/>
      <c r="Z30" s="51"/>
    </row>
    <row r="31" spans="1:26" x14ac:dyDescent="0.25">
      <c r="A31" s="119">
        <v>1</v>
      </c>
      <c r="B31" s="124">
        <v>5.1620900000000001</v>
      </c>
      <c r="C31" s="124">
        <v>5.1814400000000003</v>
      </c>
      <c r="D31" s="124">
        <f>C31-B31</f>
        <v>1.93500000000002E-2</v>
      </c>
      <c r="E31" s="124">
        <f>D31*1000</f>
        <v>19.3500000000002</v>
      </c>
      <c r="F31" s="124">
        <f>D31*1000000</f>
        <v>19350.0000000002</v>
      </c>
      <c r="G31" s="124">
        <f>F31/20</f>
        <v>967.50000000001</v>
      </c>
      <c r="H31" s="124">
        <v>0.33900000000000002</v>
      </c>
      <c r="I31" s="124">
        <v>1.8879999999999999</v>
      </c>
      <c r="J31" s="124">
        <f>5*(-0.004842+SQRT(((0.004842)^2)-(4*(((0.00000033))*(0.021955-H31)))))/(2*(((0.00000033))))</f>
        <v>325.94243308565137</v>
      </c>
      <c r="K31" s="124">
        <v>2.8500000000000001E-2</v>
      </c>
      <c r="L31" s="125">
        <f>K31*10^6/20</f>
        <v>1425</v>
      </c>
      <c r="M31" s="56">
        <f>J31/(K31*10^6)</f>
        <v>1.143657659949654E-2</v>
      </c>
      <c r="N31" s="124" t="s">
        <v>122</v>
      </c>
      <c r="O31" s="124" t="s">
        <v>123</v>
      </c>
      <c r="P31" s="51"/>
      <c r="Q31" s="51"/>
      <c r="R31" s="51"/>
      <c r="S31" s="124">
        <v>200</v>
      </c>
      <c r="T31" s="124">
        <v>1.0629999999999999</v>
      </c>
      <c r="U31" s="51"/>
      <c r="V31" s="51"/>
      <c r="W31" s="51"/>
      <c r="X31" s="51"/>
      <c r="Y31" s="51"/>
      <c r="Z31" s="51"/>
    </row>
    <row r="32" spans="1:26" x14ac:dyDescent="0.25">
      <c r="A32" s="119">
        <v>2</v>
      </c>
      <c r="B32" s="124">
        <v>5.1695700000000002</v>
      </c>
      <c r="C32" s="124">
        <v>5.18764</v>
      </c>
      <c r="D32" s="124">
        <f t="shared" ref="D32:D35" si="7">C32-B32</f>
        <v>1.8069999999999808E-2</v>
      </c>
      <c r="E32" s="124">
        <f t="shared" ref="E32:E35" si="8">D32*1000</f>
        <v>18.069999999999808</v>
      </c>
      <c r="F32" s="124">
        <f t="shared" ref="F32:F35" si="9">D32*1000000</f>
        <v>18069.999999999807</v>
      </c>
      <c r="G32" s="124">
        <f>F32/17</f>
        <v>1062.9411764705769</v>
      </c>
      <c r="H32" s="124">
        <v>0.23699999999999999</v>
      </c>
      <c r="I32" s="124">
        <v>1.276</v>
      </c>
      <c r="J32" s="124">
        <f t="shared" ref="J32:J35" si="10">5*(-0.004842+SQRT(((0.004842)^2)-(4*(((0.00000033))*(0.021955-H32)))))/(2*(((0.00000033))))</f>
        <v>221.3940496767207</v>
      </c>
      <c r="K32" s="124">
        <v>2.35E-2</v>
      </c>
      <c r="L32" s="125">
        <f>K32*10^6/17</f>
        <v>1382.3529411764705</v>
      </c>
      <c r="M32" s="56">
        <f>J32/(K32*10^6)</f>
        <v>9.4210233904987537E-3</v>
      </c>
      <c r="N32" s="126">
        <f>AVERAGE(M31:M35)</f>
        <v>1.1747779546103277E-2</v>
      </c>
      <c r="O32" s="126">
        <f>STDEV(M31:M35)/N32</f>
        <v>0.14773756158614149</v>
      </c>
      <c r="P32" s="51"/>
      <c r="Q32" s="51"/>
      <c r="R32" s="51"/>
      <c r="S32" s="124">
        <v>100</v>
      </c>
      <c r="T32" s="124">
        <v>0.55900000000000005</v>
      </c>
      <c r="U32" s="51"/>
      <c r="V32" s="51"/>
      <c r="W32" s="51"/>
      <c r="X32" s="51"/>
      <c r="Y32" s="51"/>
      <c r="Z32" s="51"/>
    </row>
    <row r="33" spans="1:26" x14ac:dyDescent="0.25">
      <c r="A33" s="119">
        <v>3</v>
      </c>
      <c r="B33" s="124">
        <v>5.17415</v>
      </c>
      <c r="C33" s="124">
        <v>5.1941699999999997</v>
      </c>
      <c r="D33" s="124">
        <f t="shared" si="7"/>
        <v>2.0019999999999705E-2</v>
      </c>
      <c r="E33" s="124">
        <f t="shared" si="8"/>
        <v>20.019999999999705</v>
      </c>
      <c r="F33" s="124">
        <f t="shared" si="9"/>
        <v>20019.999999999705</v>
      </c>
      <c r="G33" s="124">
        <f>F33/16</f>
        <v>1251.2499999999816</v>
      </c>
      <c r="H33" s="124">
        <v>0.376</v>
      </c>
      <c r="I33" s="124">
        <v>1.962</v>
      </c>
      <c r="J33" s="124">
        <f t="shared" si="10"/>
        <v>363.79392046807027</v>
      </c>
      <c r="K33" s="124">
        <v>2.7699999999999999E-2</v>
      </c>
      <c r="L33" s="125">
        <f>K33*10^6/16</f>
        <v>1731.25</v>
      </c>
      <c r="M33" s="56">
        <f>J33/(K33*10^6)</f>
        <v>1.3133354529533223E-2</v>
      </c>
      <c r="N33" s="124"/>
      <c r="O33" s="127">
        <f>STDEV(M31:M35)</f>
        <v>1.7355883041928462E-3</v>
      </c>
      <c r="P33" s="51"/>
      <c r="Q33" s="51"/>
      <c r="R33" s="51"/>
      <c r="S33" s="124">
        <v>50</v>
      </c>
      <c r="T33" s="124">
        <v>0.308</v>
      </c>
      <c r="U33" s="51"/>
      <c r="V33" s="51"/>
      <c r="W33" s="51"/>
      <c r="X33" s="51"/>
      <c r="Y33" s="51"/>
      <c r="Z33" s="51"/>
    </row>
    <row r="34" spans="1:26" x14ac:dyDescent="0.25">
      <c r="A34" s="119">
        <v>4</v>
      </c>
      <c r="B34" s="124">
        <v>5.2150800000000004</v>
      </c>
      <c r="C34" s="124">
        <v>5.2272299999999996</v>
      </c>
      <c r="D34" s="124">
        <f t="shared" si="7"/>
        <v>1.2149999999999217E-2</v>
      </c>
      <c r="E34" s="124">
        <f t="shared" si="8"/>
        <v>12.149999999999217</v>
      </c>
      <c r="F34" s="124">
        <f t="shared" si="9"/>
        <v>12149.999999999218</v>
      </c>
      <c r="G34" s="124">
        <f>F34/19</f>
        <v>639.4736842104852</v>
      </c>
      <c r="H34" s="124">
        <v>0.24399999999999999</v>
      </c>
      <c r="I34" s="124">
        <v>1.3220000000000001</v>
      </c>
      <c r="J34" s="124">
        <f t="shared" si="10"/>
        <v>228.5784027900294</v>
      </c>
      <c r="K34" s="124">
        <v>2.0799999999999999E-2</v>
      </c>
      <c r="L34" s="125">
        <f>K34*10^6/19</f>
        <v>1094.7368421052631</v>
      </c>
      <c r="M34" s="56">
        <f>J34/(K34*10^6)</f>
        <v>1.0989346287982182E-2</v>
      </c>
      <c r="N34" s="124"/>
      <c r="O34" s="128"/>
      <c r="P34" s="51"/>
      <c r="Q34" s="51"/>
      <c r="R34" s="51"/>
      <c r="S34" s="124">
        <v>10</v>
      </c>
      <c r="T34" s="124">
        <v>6.0999999999999999E-2</v>
      </c>
      <c r="U34" s="51"/>
      <c r="V34" s="51"/>
      <c r="W34" s="51"/>
      <c r="X34" s="51"/>
      <c r="Y34" s="51"/>
      <c r="Z34" s="51"/>
    </row>
    <row r="35" spans="1:26" x14ac:dyDescent="0.25">
      <c r="A35" s="119">
        <v>5</v>
      </c>
      <c r="B35" s="124">
        <v>5.1958700000000002</v>
      </c>
      <c r="C35" s="124">
        <v>5.2201000000000004</v>
      </c>
      <c r="D35" s="124">
        <f t="shared" si="7"/>
        <v>2.4230000000000196E-2</v>
      </c>
      <c r="E35" s="124">
        <f t="shared" si="8"/>
        <v>24.230000000000196</v>
      </c>
      <c r="F35" s="124">
        <f t="shared" si="9"/>
        <v>24230.000000000196</v>
      </c>
      <c r="G35" s="124">
        <f>F35/17</f>
        <v>1425.2941176470704</v>
      </c>
      <c r="H35" s="124">
        <v>0.49</v>
      </c>
      <c r="I35" s="124" t="s">
        <v>129</v>
      </c>
      <c r="J35" s="124">
        <f t="shared" si="10"/>
        <v>480.17503261289829</v>
      </c>
      <c r="K35" s="124">
        <v>3.49E-2</v>
      </c>
      <c r="L35" s="125">
        <f>K35*10^6/17</f>
        <v>2052.9411764705883</v>
      </c>
      <c r="M35" s="56">
        <f>J35/(K35*10^6)</f>
        <v>1.3758596923005682E-2</v>
      </c>
      <c r="N35" s="124"/>
      <c r="O35" s="124"/>
      <c r="P35" s="51"/>
      <c r="Q35" s="51"/>
      <c r="R35" s="51"/>
      <c r="S35" s="123">
        <v>200</v>
      </c>
      <c r="T35" s="123">
        <v>1.1579999999999999</v>
      </c>
      <c r="U35" s="115"/>
      <c r="V35" s="115"/>
      <c r="W35" s="115"/>
      <c r="X35" s="115"/>
      <c r="Y35" s="115"/>
      <c r="Z35" s="51"/>
    </row>
    <row r="36" spans="1:26" x14ac:dyDescent="0.25">
      <c r="A36" s="51"/>
      <c r="B36" s="116"/>
      <c r="C36" s="116"/>
      <c r="D36" s="116"/>
      <c r="E36" s="116"/>
      <c r="F36" s="116"/>
      <c r="G36" s="116"/>
      <c r="H36" s="116"/>
      <c r="I36" s="116"/>
      <c r="J36" s="116"/>
      <c r="K36" s="118"/>
      <c r="L36" s="117"/>
      <c r="M36" s="118"/>
      <c r="N36" s="116"/>
      <c r="O36" s="116"/>
      <c r="P36" s="51"/>
      <c r="Q36" s="51"/>
      <c r="R36" s="51"/>
      <c r="S36" s="124">
        <v>100</v>
      </c>
      <c r="T36" s="124">
        <v>0.45400000000000001</v>
      </c>
      <c r="U36" s="51"/>
      <c r="V36" s="51"/>
      <c r="W36" s="51"/>
      <c r="X36" s="51"/>
      <c r="Y36" s="51"/>
      <c r="Z36" s="51"/>
    </row>
    <row r="37" spans="1:26" ht="13.5" customHeight="1" x14ac:dyDescent="0.25">
      <c r="A37" s="119" t="s">
        <v>130</v>
      </c>
      <c r="B37" s="124" t="s">
        <v>125</v>
      </c>
      <c r="C37" s="124"/>
      <c r="D37" s="124"/>
      <c r="E37" s="124"/>
      <c r="F37" s="124"/>
      <c r="G37" s="124"/>
      <c r="H37" s="124"/>
      <c r="I37" s="124"/>
      <c r="J37" s="124"/>
      <c r="K37" s="124" t="s">
        <v>126</v>
      </c>
      <c r="L37" s="124"/>
      <c r="M37" s="124"/>
      <c r="N37" s="124"/>
      <c r="O37" s="124"/>
      <c r="P37" s="51"/>
      <c r="Q37" s="115"/>
      <c r="R37" s="115"/>
      <c r="S37" s="124">
        <v>50</v>
      </c>
      <c r="T37" s="124">
        <v>0.32200000000000001</v>
      </c>
      <c r="U37" s="51"/>
      <c r="V37" s="51" t="s">
        <v>131</v>
      </c>
      <c r="W37" s="51"/>
      <c r="X37" s="51"/>
      <c r="Y37" s="51"/>
      <c r="Z37" s="115"/>
    </row>
    <row r="38" spans="1:26" ht="61.5" customHeight="1" x14ac:dyDescent="0.25">
      <c r="A38" s="121" t="s">
        <v>111</v>
      </c>
      <c r="B38" s="122" t="s">
        <v>112</v>
      </c>
      <c r="C38" s="122" t="s">
        <v>113</v>
      </c>
      <c r="D38" s="122" t="s">
        <v>114</v>
      </c>
      <c r="E38" s="122" t="s">
        <v>115</v>
      </c>
      <c r="F38" s="122" t="s">
        <v>116</v>
      </c>
      <c r="G38" s="122" t="s">
        <v>117</v>
      </c>
      <c r="H38" s="122" t="s">
        <v>118</v>
      </c>
      <c r="I38" s="122" t="s">
        <v>119</v>
      </c>
      <c r="J38" s="122" t="s">
        <v>120</v>
      </c>
      <c r="K38" s="122" t="s">
        <v>114</v>
      </c>
      <c r="L38" s="122" t="s">
        <v>117</v>
      </c>
      <c r="M38" s="122" t="s">
        <v>127</v>
      </c>
      <c r="N38" s="122" t="s">
        <v>128</v>
      </c>
      <c r="O38" s="123"/>
      <c r="P38" s="51"/>
      <c r="Q38" s="51"/>
      <c r="R38" s="51"/>
      <c r="S38" s="124">
        <v>10</v>
      </c>
      <c r="T38" s="124">
        <v>5.1999999999999998E-2</v>
      </c>
      <c r="U38" s="51"/>
      <c r="V38" s="51" t="s">
        <v>132</v>
      </c>
      <c r="W38" s="51"/>
      <c r="X38" s="51"/>
      <c r="Y38" s="51"/>
      <c r="Z38" s="51"/>
    </row>
    <row r="39" spans="1:26" x14ac:dyDescent="0.25">
      <c r="A39" s="119">
        <v>1</v>
      </c>
      <c r="B39" s="124">
        <v>5.2090199999999998</v>
      </c>
      <c r="C39" s="124">
        <v>5.2636200000000004</v>
      </c>
      <c r="D39" s="124">
        <f>C39-B39</f>
        <v>5.4600000000000648E-2</v>
      </c>
      <c r="E39" s="124">
        <f>D39*1000</f>
        <v>54.600000000000648</v>
      </c>
      <c r="F39" s="124">
        <f>D39*1000000</f>
        <v>54600.000000000648</v>
      </c>
      <c r="G39" s="124">
        <f>F39/15</f>
        <v>3640.0000000000432</v>
      </c>
      <c r="H39" s="124">
        <v>0.66500000000000004</v>
      </c>
      <c r="I39" s="124" t="s">
        <v>129</v>
      </c>
      <c r="J39" s="124">
        <f t="shared" ref="J39:J43" si="11">5*(-0.004842+SQRT(((0.004842)^2)-(4*(((0.00000033))*(0.021955-H39)))))/(2*(((0.00000033))))</f>
        <v>658.12444570867467</v>
      </c>
      <c r="K39" s="124">
        <v>5.9900000000000002E-2</v>
      </c>
      <c r="L39" s="125">
        <f>K39*10^6/15</f>
        <v>3993.3333333333335</v>
      </c>
      <c r="M39" s="56">
        <f>J39/(K39*10^6)</f>
        <v>1.0987052516004585E-2</v>
      </c>
      <c r="N39" s="124" t="s">
        <v>122</v>
      </c>
      <c r="O39" s="124" t="s">
        <v>123</v>
      </c>
      <c r="P39" s="51"/>
      <c r="Q39" s="51"/>
      <c r="R39" s="51"/>
      <c r="S39" s="124">
        <v>200</v>
      </c>
      <c r="T39" s="124">
        <v>1.1539999999999999</v>
      </c>
      <c r="U39" s="51"/>
      <c r="V39" s="51" t="s">
        <v>133</v>
      </c>
      <c r="W39" s="51"/>
      <c r="X39" s="51"/>
      <c r="Y39" s="51"/>
      <c r="Z39" s="51"/>
    </row>
    <row r="40" spans="1:26" x14ac:dyDescent="0.25">
      <c r="A40" s="119">
        <v>2</v>
      </c>
      <c r="B40" s="124">
        <v>5.1295299999999999</v>
      </c>
      <c r="C40" s="124">
        <v>5.1736599999999999</v>
      </c>
      <c r="D40" s="124">
        <f t="shared" ref="D40:D43" si="12">C40-B40</f>
        <v>4.4130000000000003E-2</v>
      </c>
      <c r="E40" s="124">
        <f t="shared" ref="E40:E43" si="13">D40*1000</f>
        <v>44.13</v>
      </c>
      <c r="F40" s="124">
        <f t="shared" ref="F40:F43" si="14">D40*1000000</f>
        <v>44130</v>
      </c>
      <c r="G40" s="124">
        <f t="shared" ref="G40:G43" si="15">F40/15</f>
        <v>2942</v>
      </c>
      <c r="H40" s="124">
        <v>0.65200000000000002</v>
      </c>
      <c r="I40" s="124" t="s">
        <v>129</v>
      </c>
      <c r="J40" s="124">
        <f t="shared" si="11"/>
        <v>644.93451570627099</v>
      </c>
      <c r="K40" s="124">
        <v>4.7199999999999999E-2</v>
      </c>
      <c r="L40" s="125">
        <f>K40*10^6/15</f>
        <v>3146.6666666666665</v>
      </c>
      <c r="M40" s="56">
        <f>J40/(K40*10^6)</f>
        <v>1.3663866858183707E-2</v>
      </c>
      <c r="N40" s="126">
        <f>AVERAGE(M39:M43)</f>
        <v>1.220432228227269E-2</v>
      </c>
      <c r="O40" s="126">
        <f>STDEV(M39:M43)/N40</f>
        <v>9.0882651125774122E-2</v>
      </c>
      <c r="P40" s="51"/>
      <c r="Q40" s="51"/>
      <c r="R40" s="51"/>
      <c r="S40" s="124">
        <v>100</v>
      </c>
      <c r="T40" s="124">
        <v>0.55100000000000005</v>
      </c>
      <c r="U40" s="51"/>
      <c r="V40" s="51"/>
      <c r="W40" s="51"/>
      <c r="X40" s="51"/>
      <c r="Y40" s="51"/>
      <c r="Z40" s="51"/>
    </row>
    <row r="41" spans="1:26" x14ac:dyDescent="0.25">
      <c r="A41" s="119">
        <v>3</v>
      </c>
      <c r="B41" s="124">
        <v>5.1685299999999996</v>
      </c>
      <c r="C41" s="124">
        <v>5.2064899999999996</v>
      </c>
      <c r="D41" s="124">
        <f t="shared" si="12"/>
        <v>3.7959999999999994E-2</v>
      </c>
      <c r="E41" s="124">
        <f t="shared" si="13"/>
        <v>37.959999999999994</v>
      </c>
      <c r="F41" s="124">
        <f t="shared" si="14"/>
        <v>37959.999999999993</v>
      </c>
      <c r="G41" s="124">
        <f t="shared" si="15"/>
        <v>2530.6666666666661</v>
      </c>
      <c r="H41" s="124">
        <v>0.51500000000000001</v>
      </c>
      <c r="I41" s="124" t="s">
        <v>129</v>
      </c>
      <c r="J41" s="124">
        <f t="shared" si="11"/>
        <v>505.64851145578672</v>
      </c>
      <c r="K41" s="124">
        <v>4.1399999999999999E-2</v>
      </c>
      <c r="L41" s="125">
        <f>K41*10^6/15</f>
        <v>2760</v>
      </c>
      <c r="M41" s="56">
        <f>J41/(K41*10^6)</f>
        <v>1.2213732160767795E-2</v>
      </c>
      <c r="N41" s="124"/>
      <c r="O41" s="127">
        <f>STDEV(M39:M43)</f>
        <v>1.1091611642063003E-3</v>
      </c>
      <c r="P41" s="51"/>
      <c r="Q41" s="51"/>
      <c r="R41" s="51"/>
      <c r="S41" s="124">
        <v>50</v>
      </c>
      <c r="T41" s="124">
        <v>0.26700000000000002</v>
      </c>
      <c r="U41" s="51"/>
      <c r="V41" s="51"/>
      <c r="W41" s="51"/>
      <c r="X41" s="51"/>
      <c r="Y41" s="51"/>
      <c r="Z41" s="51"/>
    </row>
    <row r="42" spans="1:26" x14ac:dyDescent="0.25">
      <c r="A42" s="119">
        <v>4</v>
      </c>
      <c r="B42" s="124">
        <v>5.25345</v>
      </c>
      <c r="C42" s="124">
        <v>5.2924300000000004</v>
      </c>
      <c r="D42" s="124">
        <f t="shared" si="12"/>
        <v>3.8980000000000459E-2</v>
      </c>
      <c r="E42" s="124">
        <f t="shared" si="13"/>
        <v>38.980000000000459</v>
      </c>
      <c r="F42" s="124">
        <f t="shared" si="14"/>
        <v>38980.000000000458</v>
      </c>
      <c r="G42" s="124">
        <f t="shared" si="15"/>
        <v>2598.6666666666974</v>
      </c>
      <c r="H42" s="124">
        <v>0.48699999999999999</v>
      </c>
      <c r="I42" s="124" t="s">
        <v>129</v>
      </c>
      <c r="J42" s="124">
        <f t="shared" si="11"/>
        <v>477.11704165328865</v>
      </c>
      <c r="K42" s="124">
        <v>4.2299999999999997E-2</v>
      </c>
      <c r="L42" s="125">
        <f>K42*10^6/15</f>
        <v>2820</v>
      </c>
      <c r="M42" s="56">
        <f>J42/(K42*10^6)</f>
        <v>1.1279362686838976E-2</v>
      </c>
      <c r="N42" s="124"/>
      <c r="O42" s="124"/>
      <c r="P42" s="51"/>
      <c r="Q42" s="51"/>
      <c r="R42" s="51"/>
      <c r="S42" s="124">
        <v>10</v>
      </c>
      <c r="T42" s="124">
        <v>6.4000000000000001E-2</v>
      </c>
      <c r="U42" s="51"/>
      <c r="V42" s="51"/>
      <c r="W42" s="51"/>
      <c r="X42" s="51"/>
      <c r="Y42" s="51"/>
      <c r="Z42" s="51"/>
    </row>
    <row r="43" spans="1:26" x14ac:dyDescent="0.25">
      <c r="A43" s="119">
        <v>5</v>
      </c>
      <c r="B43" s="124">
        <v>5.15855</v>
      </c>
      <c r="C43" s="124">
        <v>5.2050099999999997</v>
      </c>
      <c r="D43" s="124">
        <f t="shared" si="12"/>
        <v>4.6459999999999724E-2</v>
      </c>
      <c r="E43" s="124">
        <f t="shared" si="13"/>
        <v>46.459999999999724</v>
      </c>
      <c r="F43" s="124">
        <f t="shared" si="14"/>
        <v>46459.999999999724</v>
      </c>
      <c r="G43" s="124">
        <f t="shared" si="15"/>
        <v>3097.3333333333148</v>
      </c>
      <c r="H43" s="124">
        <v>0.67</v>
      </c>
      <c r="I43" s="124" t="s">
        <v>129</v>
      </c>
      <c r="J43" s="124">
        <f t="shared" si="11"/>
        <v>663.19625526277207</v>
      </c>
      <c r="K43" s="124">
        <v>5.1499999999999997E-2</v>
      </c>
      <c r="L43" s="125">
        <f>K43*10^6/15</f>
        <v>3433.3333333333335</v>
      </c>
      <c r="M43" s="56">
        <f>J43/(K43*10^6)</f>
        <v>1.287759718956839E-2</v>
      </c>
      <c r="N43" s="124"/>
      <c r="O43" s="124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x14ac:dyDescent="0.25">
      <c r="A44" s="51"/>
      <c r="B44" s="116"/>
      <c r="C44" s="116"/>
      <c r="D44" s="116"/>
      <c r="E44" s="116"/>
      <c r="F44" s="116"/>
      <c r="G44" s="116"/>
      <c r="H44" s="116"/>
      <c r="I44" s="116"/>
      <c r="J44" s="116"/>
      <c r="K44" s="118"/>
      <c r="L44" s="117"/>
      <c r="M44" s="118"/>
      <c r="N44" s="116"/>
      <c r="O44" s="116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x14ac:dyDescent="0.25">
      <c r="A45" s="119" t="s">
        <v>134</v>
      </c>
      <c r="B45" s="124" t="s">
        <v>125</v>
      </c>
      <c r="C45" s="124"/>
      <c r="D45" s="124"/>
      <c r="E45" s="124"/>
      <c r="F45" s="124"/>
      <c r="G45" s="124"/>
      <c r="H45" s="124"/>
      <c r="I45" s="124"/>
      <c r="J45" s="124"/>
      <c r="K45" s="124" t="s">
        <v>126</v>
      </c>
      <c r="L45" s="124"/>
      <c r="M45" s="124"/>
      <c r="N45" s="124"/>
      <c r="O45" s="124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60" x14ac:dyDescent="0.25">
      <c r="A46" s="121" t="s">
        <v>111</v>
      </c>
      <c r="B46" s="122" t="s">
        <v>112</v>
      </c>
      <c r="C46" s="122" t="s">
        <v>113</v>
      </c>
      <c r="D46" s="122" t="s">
        <v>114</v>
      </c>
      <c r="E46" s="122" t="s">
        <v>115</v>
      </c>
      <c r="F46" s="122" t="s">
        <v>116</v>
      </c>
      <c r="G46" s="122" t="s">
        <v>117</v>
      </c>
      <c r="H46" s="122" t="s">
        <v>118</v>
      </c>
      <c r="I46" s="122" t="s">
        <v>119</v>
      </c>
      <c r="J46" s="122" t="s">
        <v>120</v>
      </c>
      <c r="K46" s="122" t="s">
        <v>114</v>
      </c>
      <c r="L46" s="122" t="s">
        <v>117</v>
      </c>
      <c r="M46" s="122" t="s">
        <v>127</v>
      </c>
      <c r="N46" s="122" t="s">
        <v>128</v>
      </c>
      <c r="O46" s="124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x14ac:dyDescent="0.25">
      <c r="A47" s="119">
        <v>1</v>
      </c>
      <c r="B47" s="124">
        <v>5.1735499999999996</v>
      </c>
      <c r="C47" s="124">
        <v>5.2106700000000004</v>
      </c>
      <c r="D47" s="124">
        <f>C47-B47</f>
        <v>3.7120000000000708E-2</v>
      </c>
      <c r="E47" s="124">
        <f>D47*1000</f>
        <v>37.120000000000708</v>
      </c>
      <c r="F47" s="124">
        <f>D47*1000000</f>
        <v>37120.000000000706</v>
      </c>
      <c r="G47" s="124">
        <f>F47/20</f>
        <v>1856.0000000000352</v>
      </c>
      <c r="H47" s="124">
        <v>0.60299999999999998</v>
      </c>
      <c r="I47" s="124" t="s">
        <v>129</v>
      </c>
      <c r="J47" s="124">
        <f t="shared" ref="J47:J51" si="16">5*(-0.004842+SQRT(((0.004842)^2)-(4*(((0.00000033))*(0.021955-H47)))))/(2*(((0.00000033))))</f>
        <v>595.17667734431552</v>
      </c>
      <c r="K47" s="124">
        <v>4.7399999999999998E-2</v>
      </c>
      <c r="L47" s="124">
        <f>K47*10^6/20</f>
        <v>2370</v>
      </c>
      <c r="M47" s="56">
        <f>J47/(K47*10^6)</f>
        <v>1.2556469986166994E-2</v>
      </c>
      <c r="N47" s="124" t="s">
        <v>122</v>
      </c>
      <c r="O47" s="124" t="s">
        <v>123</v>
      </c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x14ac:dyDescent="0.25">
      <c r="A48" s="119">
        <v>2</v>
      </c>
      <c r="B48" s="124">
        <v>5.15726</v>
      </c>
      <c r="C48" s="124">
        <v>5.1865600000000001</v>
      </c>
      <c r="D48" s="124">
        <f t="shared" ref="D48:D51" si="17">C48-B48</f>
        <v>2.9300000000000104E-2</v>
      </c>
      <c r="E48" s="124">
        <f t="shared" ref="E48:E51" si="18">D48*1000</f>
        <v>29.300000000000104</v>
      </c>
      <c r="F48" s="124">
        <f t="shared" ref="F48:F51" si="19">D48*1000000</f>
        <v>29300.000000000106</v>
      </c>
      <c r="G48" s="124">
        <f t="shared" ref="G48:G51" si="20">F48/20</f>
        <v>1465.0000000000052</v>
      </c>
      <c r="H48" s="124">
        <v>0.6</v>
      </c>
      <c r="I48" s="124" t="s">
        <v>129</v>
      </c>
      <c r="J48" s="124">
        <f t="shared" si="16"/>
        <v>592.12812123315894</v>
      </c>
      <c r="K48" s="124">
        <v>4.0500000000000001E-2</v>
      </c>
      <c r="L48" s="124">
        <f t="shared" ref="L48:L51" si="21">K48*10^6/20</f>
        <v>2025</v>
      </c>
      <c r="M48" s="56">
        <f>J48/(K48*10^6)</f>
        <v>1.4620447437855776E-2</v>
      </c>
      <c r="N48" s="126">
        <f>AVERAGE(M47:M51)</f>
        <v>1.3520511641824934E-2</v>
      </c>
      <c r="O48" s="126">
        <f>STDEV(M47:M51)/N48</f>
        <v>0.1131805869244448</v>
      </c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x14ac:dyDescent="0.25">
      <c r="A49" s="119">
        <v>3</v>
      </c>
      <c r="B49" s="124">
        <v>5.16622</v>
      </c>
      <c r="C49" s="124">
        <v>5.2118399999999996</v>
      </c>
      <c r="D49" s="124">
        <f t="shared" si="17"/>
        <v>4.561999999999955E-2</v>
      </c>
      <c r="E49" s="124">
        <f t="shared" si="18"/>
        <v>45.61999999999955</v>
      </c>
      <c r="F49" s="124">
        <f t="shared" si="19"/>
        <v>45619.999999999549</v>
      </c>
      <c r="G49" s="124">
        <f t="shared" si="20"/>
        <v>2280.9999999999773</v>
      </c>
      <c r="H49" s="124">
        <v>0.63300000000000001</v>
      </c>
      <c r="I49" s="124" t="s">
        <v>129</v>
      </c>
      <c r="J49" s="124">
        <f t="shared" si="16"/>
        <v>625.64853736223608</v>
      </c>
      <c r="K49" s="124">
        <v>5.5399999999999998E-2</v>
      </c>
      <c r="L49" s="124">
        <f t="shared" si="21"/>
        <v>2770</v>
      </c>
      <c r="M49" s="56">
        <f>J49/(K49*10^6)</f>
        <v>1.1293294898235308E-2</v>
      </c>
      <c r="N49" s="124"/>
      <c r="O49" s="127">
        <f>STDEV(M47:M51)</f>
        <v>1.5302594431405349E-3</v>
      </c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x14ac:dyDescent="0.25">
      <c r="A50" s="119">
        <v>4</v>
      </c>
      <c r="B50" s="124">
        <v>5.1731699999999998</v>
      </c>
      <c r="C50" s="124">
        <v>5.21617</v>
      </c>
      <c r="D50" s="124">
        <f t="shared" si="17"/>
        <v>4.3000000000000149E-2</v>
      </c>
      <c r="E50" s="124">
        <f t="shared" si="18"/>
        <v>43.000000000000149</v>
      </c>
      <c r="F50" s="124">
        <f t="shared" si="19"/>
        <v>43000.000000000153</v>
      </c>
      <c r="G50" s="124">
        <f t="shared" si="20"/>
        <v>2150.0000000000077</v>
      </c>
      <c r="H50" s="124">
        <v>0.75700000000000001</v>
      </c>
      <c r="I50" s="124" t="s">
        <v>129</v>
      </c>
      <c r="J50" s="124">
        <f t="shared" si="16"/>
        <v>751.33573815887848</v>
      </c>
      <c r="K50" s="124">
        <v>5.2299999999999999E-2</v>
      </c>
      <c r="L50" s="124">
        <f t="shared" si="21"/>
        <v>2615</v>
      </c>
      <c r="M50" s="56">
        <f>J50/(K50*10^6)</f>
        <v>1.4365884094816032E-2</v>
      </c>
      <c r="N50" s="124"/>
      <c r="O50" s="124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6" x14ac:dyDescent="0.25">
      <c r="A51" s="119">
        <v>5</v>
      </c>
      <c r="B51" s="124">
        <v>5.1900399999999998</v>
      </c>
      <c r="C51" s="124">
        <v>5.2299300000000004</v>
      </c>
      <c r="D51" s="124">
        <f t="shared" si="17"/>
        <v>3.9890000000000647E-2</v>
      </c>
      <c r="E51" s="124">
        <f t="shared" si="18"/>
        <v>39.890000000000647</v>
      </c>
      <c r="F51" s="124">
        <f t="shared" si="19"/>
        <v>39890.000000000648</v>
      </c>
      <c r="G51" s="124">
        <f t="shared" si="20"/>
        <v>1994.5000000000323</v>
      </c>
      <c r="H51" s="124">
        <v>0.82299999999999995</v>
      </c>
      <c r="I51" s="124" t="s">
        <v>129</v>
      </c>
      <c r="J51" s="124">
        <f t="shared" si="16"/>
        <v>818.0619832796009</v>
      </c>
      <c r="K51" s="124">
        <v>5.5399999999999998E-2</v>
      </c>
      <c r="L51" s="124">
        <f t="shared" si="21"/>
        <v>2770</v>
      </c>
      <c r="M51" s="56">
        <f>J51/(K51*10^6)</f>
        <v>1.4766461792050557E-2</v>
      </c>
      <c r="N51" s="124"/>
      <c r="O51" s="124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x14ac:dyDescent="0.25">
      <c r="A52" s="51"/>
      <c r="B52" s="116"/>
      <c r="C52" s="116"/>
      <c r="D52" s="116"/>
      <c r="E52" s="116"/>
      <c r="F52" s="116"/>
      <c r="G52" s="116"/>
      <c r="H52" s="116"/>
      <c r="I52" s="116"/>
      <c r="J52" s="116"/>
      <c r="K52" s="118"/>
      <c r="L52" s="116"/>
      <c r="M52" s="118"/>
      <c r="N52" s="116"/>
      <c r="O52" s="116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x14ac:dyDescent="0.25"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x14ac:dyDescent="0.25">
      <c r="Q54" s="51"/>
      <c r="R54" s="51"/>
      <c r="Z54" s="51"/>
    </row>
    <row r="55" spans="1:26" x14ac:dyDescent="0.25">
      <c r="Q55" s="51"/>
      <c r="R55" s="51"/>
      <c r="Z55" s="51"/>
    </row>
    <row r="56" spans="1:26" s="130" customFormat="1" x14ac:dyDescent="0.25">
      <c r="A56" s="129"/>
    </row>
    <row r="57" spans="1:26" s="132" customFormat="1" x14ac:dyDescent="0.25">
      <c r="A57" s="131" t="s">
        <v>135</v>
      </c>
    </row>
    <row r="58" spans="1:26" s="45" customFormat="1" x14ac:dyDescent="0.25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</row>
    <row r="59" spans="1:26" ht="60" x14ac:dyDescent="0.25">
      <c r="A59" s="133" t="s">
        <v>111</v>
      </c>
      <c r="B59" s="134" t="s">
        <v>136</v>
      </c>
      <c r="C59" s="134" t="s">
        <v>114</v>
      </c>
      <c r="D59" s="134" t="s">
        <v>115</v>
      </c>
      <c r="E59" s="134" t="s">
        <v>116</v>
      </c>
      <c r="F59" s="134" t="s">
        <v>117</v>
      </c>
      <c r="G59" s="134" t="s">
        <v>137</v>
      </c>
      <c r="H59" s="134" t="s">
        <v>138</v>
      </c>
      <c r="I59" s="134" t="s">
        <v>120</v>
      </c>
      <c r="J59" s="134" t="s">
        <v>121</v>
      </c>
      <c r="K59" s="4"/>
      <c r="L59" s="4"/>
      <c r="M59"/>
      <c r="N59"/>
      <c r="O59"/>
    </row>
    <row r="60" spans="1:26" x14ac:dyDescent="0.25">
      <c r="A60" s="4" t="s">
        <v>192</v>
      </c>
      <c r="B60" s="4">
        <v>15</v>
      </c>
      <c r="C60" s="4">
        <v>4.7500000000000001E-2</v>
      </c>
      <c r="D60" s="4">
        <f>C60*1000</f>
        <v>47.5</v>
      </c>
      <c r="E60" s="4">
        <f>C60*1000000</f>
        <v>47500</v>
      </c>
      <c r="F60" s="4">
        <f>E60/15</f>
        <v>3166.6666666666665</v>
      </c>
      <c r="G60" s="4">
        <v>0.61799999999999999</v>
      </c>
      <c r="H60" s="4">
        <v>0.58499999999999996</v>
      </c>
      <c r="I60" s="4">
        <f>5*(-0.006399+SQRT(((0.006399)^2)-(4*(((-0.000003))*(0.030838-G60)))))/(2*(((-0.000003))))</f>
        <v>480.43450339617374</v>
      </c>
      <c r="J60" s="135">
        <f>I60/E60</f>
        <v>1.0114410597814184E-2</v>
      </c>
      <c r="K60" s="136">
        <f>AVERAGE(J60:J64)</f>
        <v>1.0138968390461954E-2</v>
      </c>
      <c r="L60" s="124" t="s">
        <v>139</v>
      </c>
      <c r="N60"/>
      <c r="O60"/>
      <c r="U60" s="2" t="s">
        <v>178</v>
      </c>
      <c r="V60" s="2"/>
      <c r="W60" s="2"/>
      <c r="X60" s="2"/>
      <c r="Y60" s="2"/>
    </row>
    <row r="61" spans="1:26" x14ac:dyDescent="0.25">
      <c r="A61" s="4" t="s">
        <v>193</v>
      </c>
      <c r="B61" s="4">
        <v>16</v>
      </c>
      <c r="C61" s="4">
        <v>4.4699999999999997E-2</v>
      </c>
      <c r="D61" s="4">
        <f t="shared" ref="D61:D69" si="22">C61*1000</f>
        <v>44.699999999999996</v>
      </c>
      <c r="E61" s="4">
        <f t="shared" ref="E61:E69" si="23">C61*1000000</f>
        <v>44700</v>
      </c>
      <c r="F61" s="4">
        <f t="shared" ref="F61:F69" si="24">E61/15</f>
        <v>2980</v>
      </c>
      <c r="G61" s="4">
        <v>0.54300000000000004</v>
      </c>
      <c r="H61" s="4">
        <v>0.5</v>
      </c>
      <c r="I61" s="4">
        <f t="shared" ref="I61:I69" si="25">5*(-0.006399+SQRT(((0.006399)^2)-(4*(((-0.000003))*(0.030838-G61)))))/(2*(((-0.000003))))</f>
        <v>416.45081561083936</v>
      </c>
      <c r="J61" s="135">
        <f t="shared" ref="J61:J69" si="26">I61/E61</f>
        <v>9.3165730561709029E-3</v>
      </c>
      <c r="K61" s="137">
        <f>_xlfn.STDEV.S(J60:J64)/K60</f>
        <v>0.10217615184168798</v>
      </c>
      <c r="L61" s="124"/>
      <c r="N61"/>
      <c r="O61"/>
      <c r="U61" s="2"/>
      <c r="V61" s="2"/>
      <c r="W61" s="2" t="s">
        <v>142</v>
      </c>
      <c r="X61" s="2"/>
      <c r="Y61" s="2"/>
    </row>
    <row r="62" spans="1:26" x14ac:dyDescent="0.25">
      <c r="A62" s="4" t="s">
        <v>194</v>
      </c>
      <c r="B62" s="4">
        <v>17</v>
      </c>
      <c r="C62" s="4">
        <v>4.65E-2</v>
      </c>
      <c r="D62" s="4">
        <f t="shared" si="22"/>
        <v>46.5</v>
      </c>
      <c r="E62" s="4">
        <f t="shared" si="23"/>
        <v>46500</v>
      </c>
      <c r="F62" s="4">
        <f t="shared" si="24"/>
        <v>3100</v>
      </c>
      <c r="G62" s="4">
        <v>0.61899999999999999</v>
      </c>
      <c r="H62" s="4">
        <v>0.58899999999999997</v>
      </c>
      <c r="I62" s="4">
        <f t="shared" si="25"/>
        <v>481.29332021403116</v>
      </c>
      <c r="J62" s="135">
        <f t="shared" si="26"/>
        <v>1.0350393983097445E-2</v>
      </c>
      <c r="K62" s="138">
        <f>_xlfn.STDEV.S(J60:J64)</f>
        <v>1.0359607737819153E-3</v>
      </c>
      <c r="L62" s="139" t="s">
        <v>202</v>
      </c>
      <c r="N62"/>
      <c r="O62"/>
      <c r="U62" s="2"/>
      <c r="V62" s="2" t="s">
        <v>143</v>
      </c>
      <c r="W62" s="2" t="s">
        <v>144</v>
      </c>
      <c r="X62" s="2" t="s">
        <v>145</v>
      </c>
      <c r="Y62" s="2" t="s">
        <v>206</v>
      </c>
    </row>
    <row r="63" spans="1:26" x14ac:dyDescent="0.25">
      <c r="A63" s="4" t="s">
        <v>195</v>
      </c>
      <c r="B63" s="4">
        <v>18</v>
      </c>
      <c r="C63" s="4">
        <v>4.5100000000000001E-2</v>
      </c>
      <c r="D63" s="4">
        <f t="shared" si="22"/>
        <v>45.1</v>
      </c>
      <c r="E63" s="4">
        <f t="shared" si="23"/>
        <v>45100</v>
      </c>
      <c r="F63" s="4">
        <f t="shared" si="24"/>
        <v>3006.6666666666665</v>
      </c>
      <c r="G63" s="4">
        <v>0.53900000000000003</v>
      </c>
      <c r="H63" s="4">
        <v>0.52700000000000002</v>
      </c>
      <c r="I63" s="4">
        <f t="shared" si="25"/>
        <v>413.061727527556</v>
      </c>
      <c r="J63" s="135">
        <f t="shared" si="26"/>
        <v>9.1587966192362754E-3</v>
      </c>
      <c r="K63" s="124"/>
      <c r="L63" s="124"/>
      <c r="N63"/>
      <c r="O63"/>
      <c r="U63" s="2">
        <v>10</v>
      </c>
      <c r="V63" s="2" t="s">
        <v>146</v>
      </c>
      <c r="W63" s="2">
        <v>5.2999999999999999E-2</v>
      </c>
      <c r="X63" s="2">
        <v>5.0999999999999997E-2</v>
      </c>
      <c r="Y63" s="2">
        <f>AVERAGE(W63:X63)</f>
        <v>5.1999999999999998E-2</v>
      </c>
    </row>
    <row r="64" spans="1:26" x14ac:dyDescent="0.25">
      <c r="A64" s="4" t="s">
        <v>196</v>
      </c>
      <c r="B64" s="4">
        <v>19</v>
      </c>
      <c r="C64" s="4">
        <v>4.7500000000000001E-2</v>
      </c>
      <c r="D64" s="4">
        <f t="shared" si="22"/>
        <v>47.5</v>
      </c>
      <c r="E64" s="4">
        <f t="shared" si="23"/>
        <v>47500</v>
      </c>
      <c r="F64" s="4">
        <f t="shared" si="24"/>
        <v>3166.6666666666665</v>
      </c>
      <c r="G64" s="4">
        <v>0.70799999999999996</v>
      </c>
      <c r="H64" s="4">
        <v>0.66400000000000003</v>
      </c>
      <c r="I64" s="4">
        <f t="shared" si="25"/>
        <v>558.34671555957084</v>
      </c>
      <c r="J64" s="135">
        <f t="shared" si="26"/>
        <v>1.1754667695990964E-2</v>
      </c>
      <c r="K64" s="124"/>
      <c r="L64" s="124"/>
      <c r="N64"/>
      <c r="O64"/>
      <c r="U64" s="2">
        <v>10</v>
      </c>
      <c r="V64" s="2" t="s">
        <v>147</v>
      </c>
      <c r="W64" s="2">
        <v>6.4000000000000001E-2</v>
      </c>
      <c r="X64" s="2">
        <v>7.1999999999999995E-2</v>
      </c>
      <c r="Y64" s="2">
        <f t="shared" ref="Y64:Y77" si="27">AVERAGE(W64:X64)</f>
        <v>6.8000000000000005E-2</v>
      </c>
    </row>
    <row r="65" spans="1:25" x14ac:dyDescent="0.25">
      <c r="A65" s="4" t="s">
        <v>197</v>
      </c>
      <c r="B65" s="4">
        <v>20</v>
      </c>
      <c r="C65" s="4">
        <v>2.1399999999999999E-2</v>
      </c>
      <c r="D65" s="4">
        <f t="shared" si="22"/>
        <v>21.4</v>
      </c>
      <c r="E65" s="4">
        <f t="shared" si="23"/>
        <v>21400</v>
      </c>
      <c r="F65" s="4">
        <f t="shared" si="24"/>
        <v>1426.6666666666667</v>
      </c>
      <c r="G65" s="4">
        <v>0.248</v>
      </c>
      <c r="H65" s="4">
        <v>0.22800000000000001</v>
      </c>
      <c r="I65" s="4">
        <f t="shared" si="25"/>
        <v>172.47355465433023</v>
      </c>
      <c r="J65" s="135">
        <f t="shared" si="26"/>
        <v>8.0595118997350574E-3</v>
      </c>
      <c r="K65" s="136">
        <f>AVERAGE(J65:J69)</f>
        <v>7.5749693832284429E-3</v>
      </c>
      <c r="L65" s="124" t="s">
        <v>140</v>
      </c>
      <c r="N65"/>
      <c r="O65"/>
      <c r="U65" s="2">
        <v>10</v>
      </c>
      <c r="V65" s="2" t="s">
        <v>148</v>
      </c>
      <c r="W65" s="2">
        <v>5.5E-2</v>
      </c>
      <c r="X65" s="2">
        <v>6.3E-2</v>
      </c>
      <c r="Y65" s="2">
        <f t="shared" si="27"/>
        <v>5.8999999999999997E-2</v>
      </c>
    </row>
    <row r="66" spans="1:25" x14ac:dyDescent="0.25">
      <c r="A66" s="4" t="s">
        <v>201</v>
      </c>
      <c r="B66" s="4">
        <v>21</v>
      </c>
      <c r="C66" s="4">
        <v>1.72E-2</v>
      </c>
      <c r="D66" s="4">
        <f t="shared" si="22"/>
        <v>17.2</v>
      </c>
      <c r="E66" s="4">
        <f t="shared" si="23"/>
        <v>17200</v>
      </c>
      <c r="F66" s="4">
        <f t="shared" si="24"/>
        <v>1146.6666666666667</v>
      </c>
      <c r="G66" s="4">
        <v>0.20300000000000001</v>
      </c>
      <c r="H66" s="4">
        <v>0.20399999999999999</v>
      </c>
      <c r="I66" s="4">
        <f t="shared" si="25"/>
        <v>136.26358152685043</v>
      </c>
      <c r="J66" s="135">
        <f t="shared" si="26"/>
        <v>7.922301251561072E-3</v>
      </c>
      <c r="K66" s="137">
        <f>_xlfn.STDEV.S(J65:J69)/K65</f>
        <v>6.2140923111982029E-2</v>
      </c>
      <c r="L66" s="124"/>
      <c r="N66"/>
      <c r="O66"/>
      <c r="U66" s="2">
        <v>50</v>
      </c>
      <c r="V66" s="2" t="s">
        <v>149</v>
      </c>
      <c r="W66" s="2">
        <v>0.33500000000000002</v>
      </c>
      <c r="X66" s="2">
        <v>0.32300000000000001</v>
      </c>
      <c r="Y66" s="2">
        <f t="shared" si="27"/>
        <v>0.32900000000000001</v>
      </c>
    </row>
    <row r="67" spans="1:25" x14ac:dyDescent="0.25">
      <c r="A67" s="4" t="s">
        <v>198</v>
      </c>
      <c r="B67" s="4">
        <v>22</v>
      </c>
      <c r="C67" s="4">
        <v>2.23E-2</v>
      </c>
      <c r="D67" s="4">
        <f t="shared" si="22"/>
        <v>22.3</v>
      </c>
      <c r="E67" s="4">
        <f t="shared" si="23"/>
        <v>22300</v>
      </c>
      <c r="F67" s="4">
        <f t="shared" si="24"/>
        <v>1486.6666666666667</v>
      </c>
      <c r="G67" s="4">
        <v>0.22900000000000001</v>
      </c>
      <c r="H67" s="4">
        <v>0.219</v>
      </c>
      <c r="I67" s="4">
        <f t="shared" si="25"/>
        <v>157.15399707420502</v>
      </c>
      <c r="J67" s="135">
        <f t="shared" si="26"/>
        <v>7.0472644427894632E-3</v>
      </c>
      <c r="K67" s="138">
        <f>_xlfn.STDEV.S(J65:J69)</f>
        <v>4.707155900188166E-4</v>
      </c>
      <c r="L67" s="139" t="s">
        <v>202</v>
      </c>
      <c r="N67"/>
      <c r="O67"/>
      <c r="U67" s="2">
        <v>50</v>
      </c>
      <c r="V67" s="2" t="s">
        <v>150</v>
      </c>
      <c r="W67" s="2">
        <v>0.32300000000000001</v>
      </c>
      <c r="X67" s="2">
        <v>0.32400000000000001</v>
      </c>
      <c r="Y67" s="2">
        <f t="shared" si="27"/>
        <v>0.32350000000000001</v>
      </c>
    </row>
    <row r="68" spans="1:25" x14ac:dyDescent="0.25">
      <c r="A68" s="4" t="s">
        <v>199</v>
      </c>
      <c r="B68" s="4">
        <v>23</v>
      </c>
      <c r="C68" s="4">
        <v>1.9300000000000001E-2</v>
      </c>
      <c r="D68" s="4">
        <f t="shared" si="22"/>
        <v>19.3</v>
      </c>
      <c r="E68" s="4">
        <f t="shared" si="23"/>
        <v>19300</v>
      </c>
      <c r="F68" s="4">
        <f t="shared" si="24"/>
        <v>1286.6666666666667</v>
      </c>
      <c r="G68" s="4">
        <v>0.20399999999999999</v>
      </c>
      <c r="H68" s="4">
        <v>0.214</v>
      </c>
      <c r="I68" s="4">
        <f t="shared" si="25"/>
        <v>137.06550581827355</v>
      </c>
      <c r="J68" s="135">
        <f t="shared" si="26"/>
        <v>7.1018396797032923E-3</v>
      </c>
      <c r="K68" s="4"/>
      <c r="L68" s="4"/>
      <c r="M68"/>
      <c r="N68"/>
      <c r="O68"/>
      <c r="U68" s="2">
        <v>50</v>
      </c>
      <c r="V68" s="2" t="s">
        <v>151</v>
      </c>
      <c r="W68" s="2">
        <v>0.39</v>
      </c>
      <c r="X68" s="2">
        <v>0.35899999999999999</v>
      </c>
      <c r="Y68" s="2">
        <f t="shared" si="27"/>
        <v>0.3745</v>
      </c>
    </row>
    <row r="69" spans="1:25" x14ac:dyDescent="0.25">
      <c r="A69" s="4" t="s">
        <v>200</v>
      </c>
      <c r="B69" s="4">
        <v>24</v>
      </c>
      <c r="C69" s="4">
        <v>1.46E-2</v>
      </c>
      <c r="D69" s="4">
        <f t="shared" si="22"/>
        <v>14.6</v>
      </c>
      <c r="E69" s="4">
        <f t="shared" si="23"/>
        <v>14600</v>
      </c>
      <c r="F69" s="4">
        <f t="shared" si="24"/>
        <v>973.33333333333337</v>
      </c>
      <c r="G69" s="4">
        <v>0.17399999999999999</v>
      </c>
      <c r="H69" s="4">
        <v>0.17299999999999999</v>
      </c>
      <c r="I69" s="4">
        <f t="shared" si="25"/>
        <v>113.06137277835862</v>
      </c>
      <c r="J69" s="135">
        <f t="shared" si="26"/>
        <v>7.7439296423533303E-3</v>
      </c>
      <c r="K69" s="4"/>
      <c r="L69" s="4"/>
      <c r="M69"/>
      <c r="N69"/>
      <c r="O69"/>
      <c r="U69" s="2">
        <v>100</v>
      </c>
      <c r="V69" s="2" t="s">
        <v>152</v>
      </c>
      <c r="W69" s="2">
        <v>0.73599999999999999</v>
      </c>
      <c r="X69" s="2">
        <v>0.68500000000000005</v>
      </c>
      <c r="Y69" s="2">
        <f t="shared" si="27"/>
        <v>0.71050000000000002</v>
      </c>
    </row>
    <row r="70" spans="1:25" x14ac:dyDescent="0.25">
      <c r="K70"/>
      <c r="L70"/>
      <c r="M70"/>
      <c r="N70"/>
      <c r="O70"/>
      <c r="U70" s="2">
        <v>100</v>
      </c>
      <c r="V70" s="2" t="s">
        <v>153</v>
      </c>
      <c r="W70" s="2">
        <v>0.63200000000000001</v>
      </c>
      <c r="X70" s="2">
        <v>0.63</v>
      </c>
      <c r="Y70" s="2">
        <f t="shared" si="27"/>
        <v>0.63100000000000001</v>
      </c>
    </row>
    <row r="71" spans="1:25" x14ac:dyDescent="0.25">
      <c r="K71"/>
      <c r="L71"/>
      <c r="M71"/>
      <c r="N71"/>
      <c r="O71"/>
      <c r="U71" s="2">
        <v>100</v>
      </c>
      <c r="V71" s="2" t="s">
        <v>154</v>
      </c>
      <c r="W71" s="2">
        <v>0.879</v>
      </c>
      <c r="X71" s="2">
        <v>0.77400000000000002</v>
      </c>
      <c r="Y71" s="2">
        <f t="shared" si="27"/>
        <v>0.82650000000000001</v>
      </c>
    </row>
    <row r="72" spans="1:25" x14ac:dyDescent="0.25">
      <c r="K72"/>
      <c r="L72"/>
      <c r="M72"/>
      <c r="N72"/>
      <c r="O72"/>
      <c r="U72" s="2">
        <v>200</v>
      </c>
      <c r="V72" s="2" t="s">
        <v>155</v>
      </c>
      <c r="W72" s="2">
        <v>0.85899999999999999</v>
      </c>
      <c r="X72" s="2">
        <v>0.82099999999999995</v>
      </c>
      <c r="Y72" s="2">
        <f t="shared" si="27"/>
        <v>0.84</v>
      </c>
    </row>
    <row r="73" spans="1:25" x14ac:dyDescent="0.25">
      <c r="K73"/>
      <c r="L73"/>
      <c r="M73"/>
      <c r="N73"/>
      <c r="O73"/>
      <c r="U73" s="2">
        <v>200</v>
      </c>
      <c r="V73" s="2" t="s">
        <v>156</v>
      </c>
      <c r="W73" s="2">
        <v>1.077</v>
      </c>
      <c r="X73" s="2">
        <v>1.0269999999999999</v>
      </c>
      <c r="Y73" s="2">
        <f t="shared" si="27"/>
        <v>1.052</v>
      </c>
    </row>
    <row r="74" spans="1:25" x14ac:dyDescent="0.25">
      <c r="K74"/>
      <c r="L74"/>
      <c r="M74"/>
      <c r="N74"/>
      <c r="O74"/>
      <c r="U74" s="2">
        <v>200</v>
      </c>
      <c r="V74" s="2" t="s">
        <v>157</v>
      </c>
      <c r="W74" s="2">
        <v>1.5429999999999999</v>
      </c>
      <c r="X74" s="2">
        <v>1.355</v>
      </c>
      <c r="Y74" s="2">
        <f t="shared" si="27"/>
        <v>1.4489999999999998</v>
      </c>
    </row>
    <row r="75" spans="1:25" x14ac:dyDescent="0.25">
      <c r="K75"/>
      <c r="L75"/>
      <c r="M75"/>
      <c r="N75"/>
      <c r="O75"/>
      <c r="U75" s="2">
        <v>400</v>
      </c>
      <c r="V75" s="2" t="s">
        <v>158</v>
      </c>
      <c r="W75" s="2">
        <v>1.9930000000000001</v>
      </c>
      <c r="X75" s="2">
        <v>1.9059999999999999</v>
      </c>
      <c r="Y75" s="2">
        <f t="shared" si="27"/>
        <v>1.9495</v>
      </c>
    </row>
    <row r="76" spans="1:25" x14ac:dyDescent="0.25">
      <c r="K76"/>
      <c r="L76"/>
      <c r="M76"/>
      <c r="N76"/>
      <c r="O76"/>
      <c r="U76" s="2">
        <v>400</v>
      </c>
      <c r="V76" s="2" t="s">
        <v>159</v>
      </c>
      <c r="W76" s="2">
        <v>1.9810000000000001</v>
      </c>
      <c r="X76" s="2">
        <v>1.9059999999999999</v>
      </c>
      <c r="Y76" s="2">
        <f t="shared" si="27"/>
        <v>1.9435</v>
      </c>
    </row>
    <row r="77" spans="1:25" x14ac:dyDescent="0.25">
      <c r="K77"/>
      <c r="L77"/>
      <c r="M77"/>
      <c r="N77"/>
      <c r="O77"/>
      <c r="U77" s="2">
        <v>400</v>
      </c>
      <c r="V77" s="2" t="s">
        <v>160</v>
      </c>
      <c r="W77" s="2">
        <v>2.2999999999999998</v>
      </c>
      <c r="X77" s="2">
        <v>2.2549999999999999</v>
      </c>
      <c r="Y77" s="2">
        <f t="shared" si="27"/>
        <v>2.2774999999999999</v>
      </c>
    </row>
    <row r="78" spans="1:25" x14ac:dyDescent="0.25">
      <c r="K78"/>
      <c r="L78"/>
      <c r="M78"/>
      <c r="N78"/>
      <c r="O78"/>
      <c r="U78" s="2" t="s">
        <v>141</v>
      </c>
      <c r="V78" s="2"/>
      <c r="W78" s="2">
        <v>4.0000000000000001E-3</v>
      </c>
      <c r="X78" s="2">
        <v>2E-3</v>
      </c>
      <c r="Y78" s="2"/>
    </row>
    <row r="79" spans="1:25" x14ac:dyDescent="0.25">
      <c r="K79"/>
      <c r="L79"/>
      <c r="M79"/>
      <c r="N79"/>
      <c r="O79"/>
      <c r="X79" t="s">
        <v>161</v>
      </c>
      <c r="Y79">
        <v>-3.0000000000000001E-6</v>
      </c>
    </row>
    <row r="80" spans="1:25" x14ac:dyDescent="0.25">
      <c r="K80"/>
      <c r="L80"/>
      <c r="M80"/>
      <c r="N80"/>
      <c r="O80"/>
      <c r="X80" t="s">
        <v>162</v>
      </c>
      <c r="Y80">
        <v>6.3990000000000002E-3</v>
      </c>
    </row>
    <row r="81" spans="1:25" x14ac:dyDescent="0.25">
      <c r="K81"/>
      <c r="L81"/>
      <c r="M81"/>
      <c r="N81"/>
      <c r="O81"/>
      <c r="X81" t="s">
        <v>163</v>
      </c>
      <c r="Y81">
        <v>3.0838000000000001E-2</v>
      </c>
    </row>
    <row r="82" spans="1:25" x14ac:dyDescent="0.25">
      <c r="K82"/>
      <c r="L82"/>
      <c r="M82"/>
      <c r="N82"/>
      <c r="O82"/>
    </row>
    <row r="83" spans="1:25" s="130" customFormat="1" ht="17.25" customHeight="1" x14ac:dyDescent="0.25">
      <c r="A83" s="152"/>
    </row>
    <row r="84" spans="1:25" s="142" customFormat="1" ht="15.75" thickBot="1" x14ac:dyDescent="0.3">
      <c r="A84" s="156" t="s">
        <v>169</v>
      </c>
    </row>
    <row r="85" spans="1:25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L85"/>
      <c r="M85"/>
      <c r="N85" s="151" t="s">
        <v>191</v>
      </c>
      <c r="O85" s="151"/>
    </row>
    <row r="86" spans="1:25" ht="60" x14ac:dyDescent="0.25">
      <c r="A86" s="3" t="s">
        <v>111</v>
      </c>
      <c r="B86" s="3" t="s">
        <v>115</v>
      </c>
      <c r="C86" s="3" t="s">
        <v>116</v>
      </c>
      <c r="D86" s="3" t="s">
        <v>167</v>
      </c>
      <c r="E86" s="3" t="s">
        <v>117</v>
      </c>
      <c r="F86" s="3" t="s">
        <v>119</v>
      </c>
      <c r="G86" s="3" t="s">
        <v>120</v>
      </c>
      <c r="H86" s="3" t="s">
        <v>121</v>
      </c>
      <c r="I86" s="4" t="s">
        <v>122</v>
      </c>
      <c r="J86" s="3" t="s">
        <v>168</v>
      </c>
      <c r="L86"/>
      <c r="N86" s="4" t="s">
        <v>120</v>
      </c>
      <c r="O86" s="4" t="s">
        <v>119</v>
      </c>
    </row>
    <row r="87" spans="1:25" x14ac:dyDescent="0.25">
      <c r="A87" s="4" t="s">
        <v>197</v>
      </c>
      <c r="B87" s="143">
        <v>20.100000000000001</v>
      </c>
      <c r="C87" s="4">
        <f t="shared" ref="C87:C88" si="28">B87*1000</f>
        <v>20100</v>
      </c>
      <c r="D87" s="4">
        <v>15</v>
      </c>
      <c r="E87" s="4">
        <f>C87/D87</f>
        <v>1340</v>
      </c>
      <c r="F87" s="4">
        <v>2.0840000000000001</v>
      </c>
      <c r="G87" s="4">
        <f t="shared" ref="G87:G88" si="29">(-0.0058+SQRT(((0.0058)^2)-(4*(((-0.000004))*(0.0021-F87)))))/(2*(((-0.000004))))</f>
        <v>653.23649952796359</v>
      </c>
      <c r="H87" s="144">
        <f>G87/C87</f>
        <v>3.2499328334724555E-2</v>
      </c>
      <c r="I87" s="145">
        <f>AVERAGE(H87:H88)</f>
        <v>2.9264541954831254E-2</v>
      </c>
      <c r="J87" s="145">
        <f>_xlfn.STDEV.S(H87:H88)/I87</f>
        <v>0.15632155722395122</v>
      </c>
      <c r="L87"/>
      <c r="N87" s="4">
        <v>400</v>
      </c>
      <c r="O87" s="4">
        <v>2.4969999999999999</v>
      </c>
    </row>
    <row r="88" spans="1:25" x14ac:dyDescent="0.25">
      <c r="A88" s="4" t="s">
        <v>201</v>
      </c>
      <c r="B88" s="143">
        <v>14.1</v>
      </c>
      <c r="C88" s="4">
        <f t="shared" si="28"/>
        <v>14100</v>
      </c>
      <c r="D88" s="4">
        <v>15</v>
      </c>
      <c r="E88" s="4">
        <f t="shared" ref="E88" si="30">C88/D88</f>
        <v>940</v>
      </c>
      <c r="F88" s="4">
        <v>1.5920000000000001</v>
      </c>
      <c r="G88" s="4">
        <f t="shared" si="29"/>
        <v>367.0195536066251</v>
      </c>
      <c r="H88" s="144">
        <f t="shared" ref="H88" si="31">G88/C88</f>
        <v>2.602975557493795E-2</v>
      </c>
      <c r="I88" s="6"/>
      <c r="J88" s="6">
        <f>_xlfn.STDEV.S(H87:H88)</f>
        <v>4.5746787698248753E-3</v>
      </c>
      <c r="L88"/>
      <c r="N88" s="4">
        <v>200</v>
      </c>
      <c r="O88" s="4">
        <v>0.93799999999999994</v>
      </c>
    </row>
    <row r="89" spans="1:25" x14ac:dyDescent="0.25">
      <c r="E89" s="109"/>
      <c r="K89" s="110"/>
      <c r="L89"/>
      <c r="M89" s="111"/>
      <c r="N89" s="4">
        <v>100</v>
      </c>
      <c r="O89" s="4">
        <v>0.64100000000000001</v>
      </c>
    </row>
    <row r="90" spans="1:25" ht="60" x14ac:dyDescent="0.25">
      <c r="A90" s="3" t="s">
        <v>111</v>
      </c>
      <c r="B90" s="3" t="s">
        <v>115</v>
      </c>
      <c r="C90" s="3" t="s">
        <v>116</v>
      </c>
      <c r="D90" s="3" t="s">
        <v>167</v>
      </c>
      <c r="E90" s="3" t="s">
        <v>117</v>
      </c>
      <c r="F90" s="3" t="s">
        <v>119</v>
      </c>
      <c r="G90" s="3" t="s">
        <v>120</v>
      </c>
      <c r="H90" s="3" t="s">
        <v>121</v>
      </c>
      <c r="I90" s="4" t="s">
        <v>122</v>
      </c>
      <c r="J90" s="3" t="s">
        <v>168</v>
      </c>
      <c r="L90"/>
      <c r="N90" s="4">
        <v>50</v>
      </c>
      <c r="O90" s="4">
        <v>0.34899999999999998</v>
      </c>
    </row>
    <row r="91" spans="1:25" x14ac:dyDescent="0.25">
      <c r="A91" s="4" t="s">
        <v>192</v>
      </c>
      <c r="B91" s="143">
        <v>23.9</v>
      </c>
      <c r="C91" s="4">
        <f t="shared" ref="C91:C93" si="32">B91*1000</f>
        <v>23900</v>
      </c>
      <c r="D91" s="4">
        <v>15</v>
      </c>
      <c r="E91" s="4">
        <f>C91/D91</f>
        <v>1593.3333333333333</v>
      </c>
      <c r="F91" s="4">
        <f>0.548</f>
        <v>0.54800000000000004</v>
      </c>
      <c r="G91" s="4">
        <f>5*(-0.0058+SQRT(((0.0058)^2)-(4*(((-0.000004))*(0.0021-F91)))))/(2*(((-0.000004))))</f>
        <v>505.90558014028693</v>
      </c>
      <c r="H91" s="144">
        <f>G91/C91</f>
        <v>2.1167597495409494E-2</v>
      </c>
      <c r="I91" s="146">
        <f>AVERAGE(H91:H95)</f>
        <v>2.2256667410877708E-2</v>
      </c>
      <c r="J91" s="13">
        <f>_xlfn.STDEV.S(H91:H95)/I91</f>
        <v>0.18484196649316559</v>
      </c>
      <c r="L91"/>
      <c r="N91" s="4">
        <v>10</v>
      </c>
      <c r="O91" s="4">
        <v>6.5000000000000002E-2</v>
      </c>
    </row>
    <row r="92" spans="1:25" x14ac:dyDescent="0.25">
      <c r="A92" s="4" t="s">
        <v>193</v>
      </c>
      <c r="B92" s="143">
        <v>21.3</v>
      </c>
      <c r="C92" s="4">
        <f t="shared" si="32"/>
        <v>21300</v>
      </c>
      <c r="D92" s="4">
        <v>15</v>
      </c>
      <c r="E92" s="4">
        <f t="shared" ref="E92:E93" si="33">C92/D92</f>
        <v>1420</v>
      </c>
      <c r="F92" s="4">
        <f>0.471</f>
        <v>0.47099999999999997</v>
      </c>
      <c r="G92" s="4">
        <f t="shared" ref="G92:G93" si="34">5*(-0.0058+SQRT(((0.0058)^2)-(4*(((-0.000004))*(0.0021-F92)))))/(2*(((-0.000004))))</f>
        <v>429.6909382659083</v>
      </c>
      <c r="H92" s="144">
        <f t="shared" ref="H92:H93" si="35">G92/C92</f>
        <v>2.017328348666236E-2</v>
      </c>
      <c r="I92" s="4"/>
      <c r="J92" s="144">
        <f>_xlfn.STDEV.S(H91:H95)</f>
        <v>4.1139661718109875E-3</v>
      </c>
      <c r="L92"/>
      <c r="N92" s="4">
        <v>400</v>
      </c>
      <c r="O92" s="4">
        <f>0.523*5</f>
        <v>2.6150000000000002</v>
      </c>
    </row>
    <row r="93" spans="1:25" x14ac:dyDescent="0.25">
      <c r="A93" s="4" t="s">
        <v>194</v>
      </c>
      <c r="B93" s="143">
        <v>20.100000000000001</v>
      </c>
      <c r="C93" s="4">
        <f t="shared" si="32"/>
        <v>20100</v>
      </c>
      <c r="D93" s="4">
        <v>15</v>
      </c>
      <c r="E93" s="4">
        <f t="shared" si="33"/>
        <v>1340</v>
      </c>
      <c r="F93" s="4">
        <f>0.536</f>
        <v>0.53600000000000003</v>
      </c>
      <c r="G93" s="4">
        <f t="shared" si="34"/>
        <v>493.905942006852</v>
      </c>
      <c r="H93" s="144">
        <f t="shared" si="35"/>
        <v>2.457243492571403E-2</v>
      </c>
      <c r="I93" s="4"/>
      <c r="J93" s="4"/>
      <c r="L93"/>
      <c r="M93"/>
      <c r="N93" s="4">
        <v>200</v>
      </c>
      <c r="O93" s="4">
        <v>1.3129999999999999</v>
      </c>
    </row>
    <row r="94" spans="1:25" x14ac:dyDescent="0.25">
      <c r="A94" s="4" t="s">
        <v>195</v>
      </c>
      <c r="B94" s="143">
        <v>24.7</v>
      </c>
      <c r="C94" s="4">
        <f>B94*1000</f>
        <v>24700</v>
      </c>
      <c r="D94" s="4">
        <v>15</v>
      </c>
      <c r="E94" s="4">
        <f>C94/D94</f>
        <v>1646.6666666666667</v>
      </c>
      <c r="F94" s="4">
        <f>(2.352)/5</f>
        <v>0.47039999999999998</v>
      </c>
      <c r="G94" s="4">
        <f>5*(-0.0058+SQRT(((0.0058)^2)-(4*(((-0.000004))*(0.0021-F94)))))/(2*(((-0.000004))))</f>
        <v>429.1041944393744</v>
      </c>
      <c r="H94" s="144">
        <f>G94/C94</f>
        <v>1.7372639450986816E-2</v>
      </c>
      <c r="I94" s="4"/>
      <c r="J94" s="4"/>
      <c r="L94"/>
      <c r="M94" s="7"/>
      <c r="N94" s="4">
        <v>100</v>
      </c>
      <c r="O94" s="4">
        <v>0.67</v>
      </c>
    </row>
    <row r="95" spans="1:25" x14ac:dyDescent="0.25">
      <c r="A95" s="4" t="s">
        <v>196</v>
      </c>
      <c r="B95" s="143">
        <v>18.5</v>
      </c>
      <c r="C95" s="4">
        <f>B95*1000</f>
        <v>18500</v>
      </c>
      <c r="D95" s="4">
        <v>15</v>
      </c>
      <c r="E95" s="4">
        <f>C95/D95</f>
        <v>1233.3333333333333</v>
      </c>
      <c r="F95" s="4">
        <f>0.56</f>
        <v>0.56000000000000005</v>
      </c>
      <c r="G95" s="4">
        <f>5*(-0.0058+SQRT(((0.0058)^2)-(4*(((-0.000004))*(0.0021-F95)))))/(2*(((-0.000004))))</f>
        <v>517.95156136889318</v>
      </c>
      <c r="H95" s="144">
        <f>G95/C95</f>
        <v>2.7997381695615848E-2</v>
      </c>
      <c r="I95" s="4"/>
      <c r="J95" s="4"/>
      <c r="L95"/>
      <c r="M95" s="111"/>
      <c r="N95" s="4">
        <v>50</v>
      </c>
      <c r="O95" s="4">
        <v>0.33400000000000002</v>
      </c>
    </row>
    <row r="96" spans="1:25" x14ac:dyDescent="0.25">
      <c r="E96" s="109"/>
      <c r="K96" s="110"/>
      <c r="L96"/>
      <c r="M96"/>
      <c r="N96" s="4">
        <v>10</v>
      </c>
      <c r="O96" s="4">
        <v>7.6999999999999999E-2</v>
      </c>
    </row>
    <row r="97" spans="1:19" x14ac:dyDescent="0.25">
      <c r="N97" s="4">
        <v>400</v>
      </c>
      <c r="O97" s="4">
        <v>2.41</v>
      </c>
      <c r="Q97" t="s">
        <v>203</v>
      </c>
    </row>
    <row r="98" spans="1:19" x14ac:dyDescent="0.25">
      <c r="N98" s="4">
        <v>200</v>
      </c>
      <c r="O98" s="4">
        <v>1.3460000000000001</v>
      </c>
      <c r="Q98" t="s">
        <v>204</v>
      </c>
    </row>
    <row r="99" spans="1:19" x14ac:dyDescent="0.25">
      <c r="N99" s="4">
        <v>100</v>
      </c>
      <c r="O99" s="4">
        <v>0.67300000000000004</v>
      </c>
      <c r="Q99" t="s">
        <v>205</v>
      </c>
    </row>
    <row r="100" spans="1:19" x14ac:dyDescent="0.25">
      <c r="N100" s="4">
        <v>50</v>
      </c>
      <c r="O100" s="4">
        <v>0.35099999999999998</v>
      </c>
    </row>
    <row r="101" spans="1:19" ht="15.75" thickBot="1" x14ac:dyDescent="0.3">
      <c r="N101" s="4">
        <v>10</v>
      </c>
      <c r="O101" s="4">
        <v>9.2999999999999999E-2</v>
      </c>
    </row>
    <row r="102" spans="1:19" s="141" customFormat="1" x14ac:dyDescent="0.25">
      <c r="A102" s="140"/>
      <c r="N102" s="45"/>
      <c r="O102" s="45"/>
    </row>
    <row r="103" spans="1:19" s="142" customFormat="1" ht="15.75" thickBot="1" x14ac:dyDescent="0.3">
      <c r="A103" s="156" t="s">
        <v>183</v>
      </c>
    </row>
    <row r="104" spans="1:19" s="45" customFormat="1" x14ac:dyDescent="0.25"/>
    <row r="105" spans="1:19" ht="60" x14ac:dyDescent="0.25">
      <c r="A105" s="3" t="s">
        <v>111</v>
      </c>
      <c r="B105" s="3" t="s">
        <v>136</v>
      </c>
      <c r="C105" s="3" t="s">
        <v>114</v>
      </c>
      <c r="D105" s="3" t="s">
        <v>115</v>
      </c>
      <c r="E105" s="3" t="s">
        <v>116</v>
      </c>
      <c r="F105" s="3" t="s">
        <v>117</v>
      </c>
      <c r="G105" s="3" t="s">
        <v>171</v>
      </c>
      <c r="H105" s="3" t="s">
        <v>120</v>
      </c>
      <c r="I105" s="3" t="s">
        <v>121</v>
      </c>
      <c r="J105" s="147" t="s">
        <v>179</v>
      </c>
      <c r="K105" s="123" t="s">
        <v>180</v>
      </c>
      <c r="M105"/>
      <c r="N105"/>
      <c r="O105"/>
    </row>
    <row r="106" spans="1:19" x14ac:dyDescent="0.25">
      <c r="A106" s="4" t="s">
        <v>172</v>
      </c>
      <c r="B106" s="4">
        <v>15</v>
      </c>
      <c r="C106" s="148">
        <v>4.2900000000000001E-2</v>
      </c>
      <c r="D106" s="4">
        <f t="shared" ref="D106:D111" si="36">C106*1000</f>
        <v>42.9</v>
      </c>
      <c r="E106" s="4">
        <f t="shared" ref="E106:E111" si="37">C106*1000000</f>
        <v>42900</v>
      </c>
      <c r="F106" s="143">
        <f t="shared" ref="F106:F111" si="38">E106/15</f>
        <v>2860</v>
      </c>
      <c r="G106" s="4">
        <v>1.6830000000000001</v>
      </c>
      <c r="H106" s="4">
        <f t="shared" ref="H106:H111" si="39">(-0.0061392+SQRT(((0.0061392)^2)-(4*(((-0.0000034))*(0.0195781-G106)))))/(2*(((-0.0000034))))</f>
        <v>331.99203942071847</v>
      </c>
      <c r="I106" s="135">
        <f t="shared" ref="I106:I111" si="40">H106/E106</f>
        <v>7.7387421776391255E-3</v>
      </c>
      <c r="J106" s="128" t="s">
        <v>134</v>
      </c>
      <c r="K106" s="147">
        <f>AVERAGE(I106)</f>
        <v>7.7387421776391255E-3</v>
      </c>
      <c r="M106"/>
    </row>
    <row r="107" spans="1:19" x14ac:dyDescent="0.25">
      <c r="A107" s="4" t="s">
        <v>173</v>
      </c>
      <c r="B107" s="4">
        <v>15</v>
      </c>
      <c r="C107" s="148">
        <v>2.4899999999999999E-2</v>
      </c>
      <c r="D107" s="4">
        <f t="shared" si="36"/>
        <v>24.9</v>
      </c>
      <c r="E107" s="4">
        <f t="shared" si="37"/>
        <v>24900</v>
      </c>
      <c r="F107" s="143">
        <f t="shared" si="38"/>
        <v>1660</v>
      </c>
      <c r="G107" s="4">
        <v>1.3680000000000001</v>
      </c>
      <c r="H107" s="4">
        <f t="shared" si="39"/>
        <v>255.91113287810163</v>
      </c>
      <c r="I107" s="135">
        <f t="shared" si="40"/>
        <v>1.0277555537273157E-2</v>
      </c>
      <c r="J107" s="124" t="s">
        <v>181</v>
      </c>
      <c r="K107" s="147">
        <f>AVERAGE(I107:I111)</f>
        <v>9.8795354498047386E-3</v>
      </c>
      <c r="M107"/>
      <c r="R107" s="150" t="s">
        <v>178</v>
      </c>
      <c r="S107" s="4"/>
    </row>
    <row r="108" spans="1:19" x14ac:dyDescent="0.25">
      <c r="A108" s="4" t="s">
        <v>174</v>
      </c>
      <c r="B108" s="4">
        <v>15</v>
      </c>
      <c r="C108" s="148">
        <v>0.03</v>
      </c>
      <c r="D108" s="149">
        <f t="shared" si="36"/>
        <v>30</v>
      </c>
      <c r="E108" s="4">
        <f t="shared" si="37"/>
        <v>30000</v>
      </c>
      <c r="F108" s="143">
        <f t="shared" si="38"/>
        <v>2000</v>
      </c>
      <c r="G108" s="4">
        <v>1.405</v>
      </c>
      <c r="H108" s="4">
        <f t="shared" si="39"/>
        <v>264.37752868206252</v>
      </c>
      <c r="I108" s="135">
        <f t="shared" si="40"/>
        <v>8.8125842894020839E-3</v>
      </c>
      <c r="J108" s="9"/>
      <c r="K108" s="116"/>
      <c r="M108"/>
      <c r="R108" s="4" t="s">
        <v>120</v>
      </c>
      <c r="S108" s="4" t="s">
        <v>119</v>
      </c>
    </row>
    <row r="109" spans="1:19" x14ac:dyDescent="0.25">
      <c r="A109" s="4" t="s">
        <v>175</v>
      </c>
      <c r="B109" s="4">
        <v>15</v>
      </c>
      <c r="C109" s="148">
        <v>3.9E-2</v>
      </c>
      <c r="D109" s="149">
        <f t="shared" si="36"/>
        <v>39</v>
      </c>
      <c r="E109" s="4">
        <f t="shared" si="37"/>
        <v>39000</v>
      </c>
      <c r="F109" s="143">
        <f t="shared" si="38"/>
        <v>2600</v>
      </c>
      <c r="G109" s="4">
        <v>1.75</v>
      </c>
      <c r="H109" s="4">
        <f t="shared" si="39"/>
        <v>349.52188689436099</v>
      </c>
      <c r="I109" s="135">
        <f t="shared" si="40"/>
        <v>8.9620996639579748E-3</v>
      </c>
      <c r="J109" s="9"/>
      <c r="K109" s="116"/>
      <c r="M109"/>
      <c r="R109" s="4">
        <v>400</v>
      </c>
      <c r="S109" s="4">
        <v>1.91</v>
      </c>
    </row>
    <row r="110" spans="1:19" x14ac:dyDescent="0.25">
      <c r="A110" s="4" t="s">
        <v>176</v>
      </c>
      <c r="B110" s="4">
        <v>15</v>
      </c>
      <c r="C110" s="148">
        <v>2.63E-2</v>
      </c>
      <c r="D110" s="149">
        <f t="shared" si="36"/>
        <v>26.3</v>
      </c>
      <c r="E110" s="4">
        <f t="shared" si="37"/>
        <v>26300</v>
      </c>
      <c r="F110" s="143">
        <f t="shared" si="38"/>
        <v>1753.3333333333333</v>
      </c>
      <c r="G110" s="4">
        <v>1.4410000000000001</v>
      </c>
      <c r="H110" s="4">
        <f t="shared" si="39"/>
        <v>272.72428282148888</v>
      </c>
      <c r="I110" s="135">
        <f t="shared" si="40"/>
        <v>1.0369744593972961E-2</v>
      </c>
      <c r="J110" s="9"/>
      <c r="K110" s="116"/>
      <c r="M110" s="106"/>
      <c r="R110" s="4">
        <v>200</v>
      </c>
      <c r="S110" s="4">
        <v>1.0920000000000001</v>
      </c>
    </row>
    <row r="111" spans="1:19" x14ac:dyDescent="0.25">
      <c r="A111" s="4" t="s">
        <v>177</v>
      </c>
      <c r="B111" s="4">
        <v>15</v>
      </c>
      <c r="C111" s="148">
        <v>3.1699999999999999E-2</v>
      </c>
      <c r="D111" s="149">
        <f t="shared" si="36"/>
        <v>31.7</v>
      </c>
      <c r="E111" s="4">
        <f t="shared" si="37"/>
        <v>31700</v>
      </c>
      <c r="F111" s="143">
        <f t="shared" si="38"/>
        <v>2113.3333333333335</v>
      </c>
      <c r="G111" s="4">
        <v>1.744</v>
      </c>
      <c r="H111" s="4">
        <f t="shared" si="39"/>
        <v>347.92947331203521</v>
      </c>
      <c r="I111" s="135">
        <f t="shared" si="40"/>
        <v>1.0975693164417514E-2</v>
      </c>
      <c r="J111" s="9"/>
      <c r="K111" s="116"/>
      <c r="R111" s="4">
        <v>100</v>
      </c>
      <c r="S111" s="4">
        <v>0.65500000000000003</v>
      </c>
    </row>
    <row r="112" spans="1:19" x14ac:dyDescent="0.25">
      <c r="K112"/>
      <c r="L112" s="105"/>
      <c r="R112" s="4">
        <v>50</v>
      </c>
      <c r="S112" s="4">
        <v>0.33600000000000002</v>
      </c>
    </row>
    <row r="113" spans="3:19" x14ac:dyDescent="0.25">
      <c r="K113"/>
      <c r="L113" s="105"/>
      <c r="R113" s="4">
        <v>10</v>
      </c>
      <c r="S113" s="4">
        <v>6.4000000000000001E-2</v>
      </c>
    </row>
    <row r="114" spans="3:19" x14ac:dyDescent="0.25">
      <c r="R114" s="4">
        <v>400</v>
      </c>
      <c r="S114" s="4">
        <v>2.0019999999999998</v>
      </c>
    </row>
    <row r="115" spans="3:19" x14ac:dyDescent="0.25">
      <c r="R115" s="4">
        <v>200</v>
      </c>
      <c r="S115" s="4">
        <v>1.089</v>
      </c>
    </row>
    <row r="116" spans="3:19" x14ac:dyDescent="0.25">
      <c r="R116" s="4">
        <v>100</v>
      </c>
      <c r="S116" s="4">
        <v>0.61099999999999999</v>
      </c>
    </row>
    <row r="117" spans="3:19" x14ac:dyDescent="0.25">
      <c r="R117" s="4">
        <v>50</v>
      </c>
      <c r="S117" s="4">
        <v>0.315</v>
      </c>
    </row>
    <row r="118" spans="3:19" x14ac:dyDescent="0.25">
      <c r="R118" s="4">
        <v>10</v>
      </c>
      <c r="S118" s="4">
        <v>6.8000000000000005E-2</v>
      </c>
    </row>
    <row r="119" spans="3:19" x14ac:dyDescent="0.25">
      <c r="K119"/>
      <c r="L119" s="105"/>
      <c r="O119" s="106"/>
      <c r="R119" s="4">
        <v>400</v>
      </c>
      <c r="S119" s="4">
        <v>1.909</v>
      </c>
    </row>
    <row r="120" spans="3:19" x14ac:dyDescent="0.25">
      <c r="K120"/>
      <c r="L120" s="105"/>
      <c r="O120" s="106"/>
      <c r="R120" s="4">
        <v>200</v>
      </c>
      <c r="S120" s="4">
        <v>1.095</v>
      </c>
    </row>
    <row r="121" spans="3:19" x14ac:dyDescent="0.25">
      <c r="K121"/>
      <c r="L121" s="105"/>
      <c r="O121" s="106"/>
      <c r="R121" s="4">
        <v>100</v>
      </c>
      <c r="S121" s="4">
        <v>0.61699999999999999</v>
      </c>
    </row>
    <row r="122" spans="3:19" x14ac:dyDescent="0.25">
      <c r="K122"/>
      <c r="L122" s="105" t="s">
        <v>182</v>
      </c>
      <c r="O122"/>
      <c r="R122" s="4">
        <v>50</v>
      </c>
      <c r="S122" s="4">
        <v>0.312</v>
      </c>
    </row>
    <row r="123" spans="3:19" x14ac:dyDescent="0.25">
      <c r="K123"/>
      <c r="L123" s="105"/>
      <c r="M123" s="106"/>
      <c r="N123" s="106"/>
      <c r="O123"/>
      <c r="R123" s="4">
        <v>10</v>
      </c>
      <c r="S123" s="4">
        <v>7.0000000000000007E-2</v>
      </c>
    </row>
    <row r="124" spans="3:19" x14ac:dyDescent="0.25">
      <c r="K124"/>
      <c r="L124" s="105"/>
      <c r="N124" s="112"/>
      <c r="O124"/>
    </row>
    <row r="125" spans="3:19" x14ac:dyDescent="0.25">
      <c r="K125"/>
      <c r="L125" s="105"/>
      <c r="O125"/>
    </row>
    <row r="126" spans="3:19" x14ac:dyDescent="0.25">
      <c r="K126"/>
      <c r="L126" s="105"/>
      <c r="O126"/>
    </row>
    <row r="127" spans="3:19" x14ac:dyDescent="0.25">
      <c r="K127"/>
      <c r="L127" s="105"/>
      <c r="O127"/>
    </row>
    <row r="128" spans="3:19" x14ac:dyDescent="0.25">
      <c r="C128" s="113"/>
      <c r="J128" s="51"/>
      <c r="L128" s="112"/>
      <c r="O128"/>
    </row>
    <row r="129" spans="5:15" x14ac:dyDescent="0.25">
      <c r="J129" s="51"/>
      <c r="L129" s="112"/>
      <c r="M129"/>
      <c r="N129"/>
      <c r="O129"/>
    </row>
    <row r="130" spans="5:15" x14ac:dyDescent="0.25">
      <c r="J130" s="51"/>
      <c r="L130" s="112"/>
      <c r="M130"/>
      <c r="N130"/>
      <c r="O130"/>
    </row>
    <row r="131" spans="5:15" x14ac:dyDescent="0.25">
      <c r="J131" s="51"/>
      <c r="L131" s="112"/>
      <c r="M131"/>
      <c r="N131"/>
      <c r="O131"/>
    </row>
    <row r="132" spans="5:15" x14ac:dyDescent="0.25">
      <c r="J132" s="51"/>
      <c r="L132" s="112"/>
      <c r="M132"/>
      <c r="N132"/>
      <c r="O132"/>
    </row>
    <row r="133" spans="5:15" x14ac:dyDescent="0.25">
      <c r="J133" s="51"/>
      <c r="L133" s="112"/>
      <c r="M133"/>
      <c r="N133"/>
      <c r="O133"/>
    </row>
    <row r="134" spans="5:15" x14ac:dyDescent="0.25">
      <c r="J134" s="51"/>
      <c r="L134" s="112"/>
      <c r="M134"/>
      <c r="N134"/>
      <c r="O134"/>
    </row>
    <row r="135" spans="5:15" x14ac:dyDescent="0.25">
      <c r="J135" s="51"/>
      <c r="L135" s="112"/>
      <c r="M135"/>
      <c r="N135"/>
      <c r="O135"/>
    </row>
    <row r="136" spans="5:15" x14ac:dyDescent="0.25">
      <c r="J136" s="51"/>
      <c r="L136" s="112"/>
      <c r="M136"/>
      <c r="N136"/>
      <c r="O136"/>
    </row>
    <row r="137" spans="5:15" x14ac:dyDescent="0.25">
      <c r="J137" s="51"/>
      <c r="L137" s="112"/>
      <c r="M137"/>
      <c r="N137"/>
      <c r="O137"/>
    </row>
    <row r="138" spans="5:15" x14ac:dyDescent="0.25">
      <c r="J138" s="51"/>
      <c r="L138" s="112"/>
      <c r="M138"/>
      <c r="N138"/>
      <c r="O138"/>
    </row>
    <row r="139" spans="5:15" x14ac:dyDescent="0.25">
      <c r="J139" s="51"/>
      <c r="L139" s="112"/>
      <c r="M139"/>
      <c r="N139"/>
      <c r="O139"/>
    </row>
    <row r="140" spans="5:15" x14ac:dyDescent="0.25">
      <c r="K140"/>
      <c r="L140"/>
      <c r="M140"/>
      <c r="N140"/>
      <c r="O140"/>
    </row>
    <row r="141" spans="5:15" x14ac:dyDescent="0.25">
      <c r="E141" s="109"/>
      <c r="K141" s="110"/>
      <c r="L141"/>
      <c r="M141"/>
      <c r="N141"/>
      <c r="O141"/>
    </row>
    <row r="142" spans="5:15" x14ac:dyDescent="0.25">
      <c r="E142" s="109"/>
      <c r="K142" s="110"/>
      <c r="L142"/>
      <c r="M142"/>
      <c r="N142"/>
      <c r="O14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</vt:lpstr>
      <vt:lpstr>Site Locations</vt:lpstr>
      <vt:lpstr>HA Insecticides</vt:lpstr>
      <vt:lpstr>HA QAQC</vt:lpstr>
      <vt:lpstr>Sediment Insecticides</vt:lpstr>
      <vt:lpstr>Sediment QAQC</vt:lpstr>
      <vt:lpstr>Lipid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2021-06-17T19:41:20Z</dcterms:created>
  <dcterms:modified xsi:type="dcterms:W3CDTF">2021-06-28T15:58:01Z</dcterms:modified>
</cp:coreProperties>
</file>